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trlProps/ctrlProp4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1 BEVOELKERUNG\Bevölkerung - Strukturerhebung\2023\"/>
    </mc:Choice>
  </mc:AlternateContent>
  <xr:revisionPtr revIDLastSave="0" documentId="13_ncr:1_{580EF8AE-276C-4A38-A621-16EC3CECFCA3}" xr6:coauthVersionLast="47" xr6:coauthVersionMax="47" xr10:uidLastSave="{00000000-0000-0000-0000-000000000000}"/>
  <workbookProtection lockStructure="1"/>
  <bookViews>
    <workbookView xWindow="28680" yWindow="-120" windowWidth="29040" windowHeight="17520" xr2:uid="{00000000-000D-0000-FFFF-FFFF00000000}"/>
  </bookViews>
  <sheets>
    <sheet name="Kantone" sheetId="28" r:id="rId1"/>
    <sheet name="Graubünden" sheetId="27" r:id="rId2"/>
    <sheet name="Uebersetzungen" sheetId="29" state="hidden" r:id="rId3"/>
  </sheets>
  <externalReferences>
    <externalReference r:id="rId4"/>
  </externalReferences>
  <definedNames>
    <definedName name="_xlnm.Print_Area" localSheetId="1">Graubünden!$A$1:$K$48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27" l="1"/>
  <c r="B25" i="27"/>
  <c r="B21" i="27" l="1"/>
  <c r="J14" i="27"/>
  <c r="I14" i="27"/>
  <c r="H14" i="27"/>
  <c r="G14" i="27"/>
  <c r="F14" i="27"/>
  <c r="E14" i="27"/>
  <c r="I13" i="27"/>
  <c r="G13" i="27"/>
  <c r="E13" i="27"/>
  <c r="D46" i="29" l="1"/>
  <c r="D45" i="29"/>
  <c r="D44" i="29"/>
  <c r="D43" i="29"/>
  <c r="E46" i="29"/>
  <c r="E45" i="29"/>
  <c r="E44" i="29"/>
  <c r="E43" i="29"/>
  <c r="H13" i="28" l="1"/>
  <c r="F13" i="28"/>
  <c r="D13" i="28"/>
  <c r="B13" i="28"/>
  <c r="I14" i="28"/>
  <c r="H14" i="28"/>
  <c r="G14" i="28"/>
  <c r="F14" i="28"/>
  <c r="E14" i="28"/>
  <c r="D14" i="28"/>
  <c r="A45" i="27" l="1"/>
  <c r="A44" i="27"/>
  <c r="A43" i="27"/>
  <c r="A42" i="27"/>
  <c r="A46" i="28"/>
  <c r="A45" i="28"/>
  <c r="A44" i="28"/>
  <c r="D14" i="27"/>
  <c r="C14" i="27"/>
  <c r="C13" i="27"/>
  <c r="A10" i="27"/>
  <c r="A9" i="27"/>
  <c r="A9" i="28"/>
  <c r="A7" i="27"/>
  <c r="A7" i="28"/>
  <c r="A48" i="27"/>
  <c r="A47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4" i="27"/>
  <c r="B23" i="27"/>
  <c r="B22" i="27"/>
  <c r="B20" i="27"/>
  <c r="B19" i="27"/>
  <c r="B18" i="27"/>
  <c r="B16" i="27"/>
  <c r="B17" i="27"/>
  <c r="A16" i="27"/>
  <c r="A38" i="27"/>
  <c r="A27" i="27"/>
  <c r="A24" i="27"/>
  <c r="A22" i="27"/>
  <c r="A18" i="27"/>
  <c r="A15" i="27"/>
  <c r="C14" i="28"/>
  <c r="B14" i="28"/>
  <c r="A49" i="28" l="1"/>
  <c r="A48" i="28"/>
  <c r="A43" i="28"/>
  <c r="A41" i="28"/>
  <c r="A40" i="28"/>
  <c r="A39" i="28"/>
  <c r="A38" i="28"/>
  <c r="A37" i="28"/>
  <c r="A36" i="28"/>
  <c r="A35" i="28"/>
  <c r="A34" i="28"/>
  <c r="A33" i="28"/>
  <c r="A32" i="28"/>
  <c r="A31" i="28"/>
  <c r="A30" i="28"/>
  <c r="A29" i="28"/>
  <c r="A28" i="28"/>
  <c r="A27" i="28"/>
  <c r="A26" i="28"/>
  <c r="A25" i="28"/>
  <c r="A24" i="28"/>
  <c r="A23" i="28"/>
  <c r="A22" i="28"/>
  <c r="A21" i="28"/>
  <c r="A20" i="28"/>
  <c r="A19" i="28"/>
  <c r="A18" i="28"/>
  <c r="A17" i="28"/>
  <c r="A16" i="28"/>
  <c r="A15" i="28"/>
  <c r="A10" i="28"/>
</calcChain>
</file>

<file path=xl/sharedStrings.xml><?xml version="1.0" encoding="utf-8"?>
<sst xmlns="http://schemas.openxmlformats.org/spreadsheetml/2006/main" count="344" uniqueCount="280">
  <si>
    <t>Total</t>
  </si>
  <si>
    <t>Anzahl Personen</t>
  </si>
  <si>
    <t>Zürich</t>
  </si>
  <si>
    <t>Luzern</t>
  </si>
  <si>
    <t>Uri</t>
  </si>
  <si>
    <t>Schwyz</t>
  </si>
  <si>
    <t>Obwalden</t>
  </si>
  <si>
    <t>Nidwalden</t>
  </si>
  <si>
    <t>Glarus</t>
  </si>
  <si>
    <t>Zug</t>
  </si>
  <si>
    <t>Solothurn</t>
  </si>
  <si>
    <t>Basel-Stadt</t>
  </si>
  <si>
    <t>Basel-Landschaft</t>
  </si>
  <si>
    <t>Schaffhausen</t>
  </si>
  <si>
    <t>Appenzell Ausserrhoden</t>
  </si>
  <si>
    <t>Appenzell Innerrhoden</t>
  </si>
  <si>
    <t>St. Gallen</t>
  </si>
  <si>
    <t>Aargau</t>
  </si>
  <si>
    <t>Thurgau</t>
  </si>
  <si>
    <t>Jura</t>
  </si>
  <si>
    <t>(): Extrapolation aufgrund von 49 oder weniger Beobachtungen. Die Resultate sind mit grosser Vorsicht zu interpretieren.</t>
  </si>
  <si>
    <t>X: Extrapolation aufgrund von 4 oder weniger Beobachtungen. Die Resultate werden aus Gründen des Datenschutzes nicht publiziert.</t>
  </si>
  <si>
    <t>Die Grundgesamtheit der Strukturerhebung enthält alle Personen der ständigen Wohnbevölkerung ab vollendetem 15. Altersjahr, die in Privathaushalten leben.</t>
  </si>
  <si>
    <t>Aus der Grundgesamtheit ausgeschlossen wurden neben den Personen, die in Kollektivhaushalten leben, auch Diplomaten, internationale Funktionäre und deren Angehörige.</t>
  </si>
  <si>
    <t>Geschlecht</t>
  </si>
  <si>
    <t>Männer</t>
  </si>
  <si>
    <t>Frauen</t>
  </si>
  <si>
    <t>Alter</t>
  </si>
  <si>
    <t>Arbeitsmarktstatus</t>
  </si>
  <si>
    <t>Erwerbstätige</t>
  </si>
  <si>
    <t>Erwerbslose</t>
  </si>
  <si>
    <t>Nichterwerbspersonen</t>
  </si>
  <si>
    <t>Sozioprofessionelle Kategorien</t>
  </si>
  <si>
    <t>Oberstes Management</t>
  </si>
  <si>
    <t>Freie und gleichgestellte Berufe</t>
  </si>
  <si>
    <t>Andere Selbstständige</t>
  </si>
  <si>
    <t>Akademische Berufe und oberes Kader</t>
  </si>
  <si>
    <t>Intermediäre Berufe</t>
  </si>
  <si>
    <t>Qualifizierte nichtmanuelle Berufe</t>
  </si>
  <si>
    <t>Qualifizierte manuelle Berufe</t>
  </si>
  <si>
    <t>Ungelernte Angestellte und Arbeiter</t>
  </si>
  <si>
    <t>Lernende in dualer beruflicher Grundbildung (Lehrlinge)</t>
  </si>
  <si>
    <t>Nicht zuteilbare Erwerbstätige (fehlende oder unklare Basisdaten oder unplausible Kombination)</t>
  </si>
  <si>
    <t>Erwerbslose und Nichterwerbspersonen</t>
  </si>
  <si>
    <t>Höchste abgeschlossene Ausbildung</t>
  </si>
  <si>
    <t>Sekundarstufe II</t>
  </si>
  <si>
    <t>Tertiärstufe</t>
  </si>
  <si>
    <t>Ständige schweizerische Wohnbevölkerung ab 15 Jahren</t>
  </si>
  <si>
    <t>Quelle: BFS (Strukturerhebung)</t>
  </si>
  <si>
    <t>Bern</t>
  </si>
  <si>
    <t>Freiburg</t>
  </si>
  <si>
    <t>Graubünden</t>
  </si>
  <si>
    <t>Wallis</t>
  </si>
  <si>
    <t>Tessin</t>
  </si>
  <si>
    <t>Waadt</t>
  </si>
  <si>
    <t>Neuenburg</t>
  </si>
  <si>
    <t>Genf</t>
  </si>
  <si>
    <t>Tabelle</t>
  </si>
  <si>
    <t>Code</t>
  </si>
  <si>
    <t>DE</t>
  </si>
  <si>
    <t>RM</t>
  </si>
  <si>
    <t>IT</t>
  </si>
  <si>
    <t>Sprache</t>
  </si>
  <si>
    <t>T1</t>
  </si>
  <si>
    <t>&lt;Fachbereich&gt;</t>
  </si>
  <si>
    <t>Daten &amp; Statistik</t>
  </si>
  <si>
    <t>Datas &amp; Statistica</t>
  </si>
  <si>
    <t>Dati &amp; Statistica</t>
  </si>
  <si>
    <t>&lt;Titel&gt;</t>
  </si>
  <si>
    <t>&lt;SpaltenTitel_1&gt;</t>
  </si>
  <si>
    <t>&lt;SpaltenTitel_2&gt;</t>
  </si>
  <si>
    <t>&lt;SpaltenTitel_3&gt;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</si>
  <si>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</si>
  <si>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</si>
  <si>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</si>
  <si>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</si>
  <si>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</si>
  <si>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</si>
  <si>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</si>
  <si>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</si>
  <si>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&lt;Legende_1&gt;</t>
  </si>
  <si>
    <t>&lt;Legende_2&gt;</t>
  </si>
  <si>
    <t>&lt;Legende_3&gt;</t>
  </si>
  <si>
    <t>&lt;Legende_4&gt;</t>
  </si>
  <si>
    <t>&lt;Aktualisierung&gt;</t>
  </si>
  <si>
    <t>&lt;UTitel&gt;</t>
  </si>
  <si>
    <t>&lt;Zeilentitel_9&gt;</t>
  </si>
  <si>
    <t>&lt;Zeilentitel_10&gt;</t>
  </si>
  <si>
    <t>&lt;Zeilentitel_11&gt;</t>
  </si>
  <si>
    <t>&lt;Zeilentitel_12&gt;</t>
  </si>
  <si>
    <t>&lt;Zeilentitel_13&gt;</t>
  </si>
  <si>
    <t>&lt;Zeilentitel_14&gt;</t>
  </si>
  <si>
    <t>&lt;Zeilentitel_15&gt;</t>
  </si>
  <si>
    <t>&lt;Zeilentitel_16&gt;</t>
  </si>
  <si>
    <t>&lt;Zeilentitel_17&gt;</t>
  </si>
  <si>
    <t>&lt;Zeilentitel_18&gt;</t>
  </si>
  <si>
    <t>&lt;Zeilentitel_19&gt;</t>
  </si>
  <si>
    <t>&lt;Zeilentitel_20&gt;</t>
  </si>
  <si>
    <t>&lt;Zeilentitel_21&gt;</t>
  </si>
  <si>
    <t>&lt;Zeilentitel_22&gt;</t>
  </si>
  <si>
    <t>&lt;Zeilentitel_23&gt;</t>
  </si>
  <si>
    <t>&lt;Zeilentitel_24&gt;</t>
  </si>
  <si>
    <t>&lt;Zeilentitel_25&gt;</t>
  </si>
  <si>
    <t>&lt;Zeilentitel_26&gt;</t>
  </si>
  <si>
    <t>&lt;Zeilentitel_27&gt;</t>
  </si>
  <si>
    <t>&lt;Quelle_1&gt;</t>
  </si>
  <si>
    <t>T1-2</t>
  </si>
  <si>
    <t>T2</t>
  </si>
  <si>
    <t>&lt;T2Titel&gt;</t>
  </si>
  <si>
    <t>&lt;T2UTitel&gt;</t>
  </si>
  <si>
    <t>&lt;T2Zeilentitel_1&gt;</t>
  </si>
  <si>
    <t>&lt;T2Zeilentitel_2&gt;</t>
  </si>
  <si>
    <t>&lt;T2Zeilentitel_3&gt;</t>
  </si>
  <si>
    <t>&lt;T2Zeilentitel_4&gt;</t>
  </si>
  <si>
    <t>&lt;T2Zeilentitel_5&gt;</t>
  </si>
  <si>
    <t>&lt;T2Zeilentitel_6&gt;</t>
  </si>
  <si>
    <t>&lt;T2Zeilentitel_7&gt;</t>
  </si>
  <si>
    <t>&lt;SpaltenTitel_1.1&gt;</t>
  </si>
  <si>
    <t>&lt;SpaltenTitel_1.2&gt;</t>
  </si>
  <si>
    <t>&lt;T2Zeilentitel_2.1&gt;</t>
  </si>
  <si>
    <t>&lt;T2Zeilentitel_2.2&gt;</t>
  </si>
  <si>
    <t>&lt;T2Zeilentitel_3.1&gt;</t>
  </si>
  <si>
    <t>&lt;T2Zeilentitel_3.2&gt;</t>
  </si>
  <si>
    <t>&lt;T2Zeilentitel_4.1&gt;</t>
  </si>
  <si>
    <t>&lt;T2Zeilentitel_4.2&gt;</t>
  </si>
  <si>
    <t>&lt;T2Zeilentitel_5.1&gt;</t>
  </si>
  <si>
    <t>&lt;T2Zeilentitel_5.2&gt;</t>
  </si>
  <si>
    <t>&lt;T2Zeilentitel_7.1&gt;</t>
  </si>
  <si>
    <t>&lt;T2Zeilentitel_7.2&gt;</t>
  </si>
  <si>
    <t>&lt;T2Zeilentitel_7.3&gt;</t>
  </si>
  <si>
    <t>&lt;T2Zeilentitel_8&gt;</t>
  </si>
  <si>
    <t>&lt;T2Zeilentitel_3.3&gt;</t>
  </si>
  <si>
    <t>&lt;T2Zeilentitel_3.4&gt;</t>
  </si>
  <si>
    <t>&lt;T2Zeilentitel_7.4&gt;</t>
  </si>
  <si>
    <t>&lt;T2Zeilentitel_7.5&gt;</t>
  </si>
  <si>
    <t>&lt;T2Zeilentitel_7.6&gt;</t>
  </si>
  <si>
    <t>&lt;T2Zeilentitel_7.7&gt;</t>
  </si>
  <si>
    <t>&lt;T2Zeilentitel_7.8&gt;</t>
  </si>
  <si>
    <t>&lt;T2Zeilentitel_7.9&gt;</t>
  </si>
  <si>
    <t>&lt;T2Zeilentitel_7.10&gt;</t>
  </si>
  <si>
    <t>&lt;T2Zeilentitel_7.11&gt;</t>
  </si>
  <si>
    <t>&lt;T2Zeilentitel_8.1&gt;</t>
  </si>
  <si>
    <t>&lt;T2Zeilentitel_8.2&gt;</t>
  </si>
  <si>
    <t>&lt;T2Zeilentitel_8.3&gt;</t>
  </si>
  <si>
    <t>&lt;T2Aktualisierung&gt;</t>
  </si>
  <si>
    <t>Totale</t>
  </si>
  <si>
    <t>Numero di persone</t>
  </si>
  <si>
    <t>Fonte: UST - Rilevazione strutturale (RS)</t>
  </si>
  <si>
    <t>Zurigo</t>
  </si>
  <si>
    <t>Berna</t>
  </si>
  <si>
    <t>Lucerna</t>
  </si>
  <si>
    <t>Svitto</t>
  </si>
  <si>
    <t>Obvaldo</t>
  </si>
  <si>
    <t>Nidvaldo</t>
  </si>
  <si>
    <t>Glarona</t>
  </si>
  <si>
    <t>Zugo</t>
  </si>
  <si>
    <t>Friborgo</t>
  </si>
  <si>
    <t>Soletta</t>
  </si>
  <si>
    <t>Basilea Città</t>
  </si>
  <si>
    <t>Basilea Campagna</t>
  </si>
  <si>
    <t>Sciaffusa</t>
  </si>
  <si>
    <t>Appenzello Esterno</t>
  </si>
  <si>
    <t>Appenzello Interno</t>
  </si>
  <si>
    <t>San Gallo</t>
  </si>
  <si>
    <t>Grigioni</t>
  </si>
  <si>
    <t>Argovia</t>
  </si>
  <si>
    <t>Turgovia</t>
  </si>
  <si>
    <t>Ticino</t>
  </si>
  <si>
    <t>Vaud</t>
  </si>
  <si>
    <t>Vallese</t>
  </si>
  <si>
    <t>Neuchâtel</t>
  </si>
  <si>
    <t>Ginevra</t>
  </si>
  <si>
    <t>Giura</t>
  </si>
  <si>
    <t>Popolazione residente permanente svizzera di 15 anni e più</t>
  </si>
  <si>
    <t>Sesso</t>
  </si>
  <si>
    <t>Età</t>
  </si>
  <si>
    <t>Uomini</t>
  </si>
  <si>
    <t>Donne</t>
  </si>
  <si>
    <t>Occupati</t>
  </si>
  <si>
    <t>Disoccupati</t>
  </si>
  <si>
    <t>Persone senza attività professionale</t>
  </si>
  <si>
    <t>Management superiore</t>
  </si>
  <si>
    <t>Professioni liberali ed equiparate</t>
  </si>
  <si>
    <t>Altri indipendenti</t>
  </si>
  <si>
    <t>Professioni accademiche e quadri superiori</t>
  </si>
  <si>
    <t>Professioni intermediarie</t>
  </si>
  <si>
    <t>Professioni qualificate non manuali</t>
  </si>
  <si>
    <t>Professioni qualificate manuali</t>
  </si>
  <si>
    <t>Impiegati e operai non qualificati</t>
  </si>
  <si>
    <t>Persone in formazione professionale di base duale (apprendisti)</t>
  </si>
  <si>
    <t>Occupati non attribuibili (dati di base mancanti)</t>
  </si>
  <si>
    <t>Disoccupati e persone senza attività professionale</t>
  </si>
  <si>
    <t>Senza formazione postobbligatoria</t>
  </si>
  <si>
    <t>Livello secondario II</t>
  </si>
  <si>
    <t>Livello terziario</t>
  </si>
  <si>
    <t>Intervallo di confidenza: ± (in %)</t>
  </si>
  <si>
    <t>Sviz</t>
  </si>
  <si>
    <t>Soloturn</t>
  </si>
  <si>
    <t>Friburg</t>
  </si>
  <si>
    <t>Glaruna</t>
  </si>
  <si>
    <t>Schaffusa</t>
  </si>
  <si>
    <t>Sutsilvania</t>
  </si>
  <si>
    <t>Sursilvania</t>
  </si>
  <si>
    <t>Turitg</t>
  </si>
  <si>
    <t>Basilea-Citad</t>
  </si>
  <si>
    <t>Basilea-Champagna</t>
  </si>
  <si>
    <t>Appenzell Dadora</t>
  </si>
  <si>
    <t>Appenzell Dadens</t>
  </si>
  <si>
    <t>Son Gagl</t>
  </si>
  <si>
    <t>Genevra</t>
  </si>
  <si>
    <t>Vallais</t>
  </si>
  <si>
    <t>Vad</t>
  </si>
  <si>
    <t>Grischun</t>
  </si>
  <si>
    <t>Umens</t>
  </si>
  <si>
    <t>Dunnas</t>
  </si>
  <si>
    <t>Gender</t>
  </si>
  <si>
    <t>Vegliadetgna</t>
  </si>
  <si>
    <t>Status dal martgà da lavur</t>
  </si>
  <si>
    <t>Categorias socioprofessiunalas</t>
  </si>
  <si>
    <t>La pli auta scolaziun terminada</t>
  </si>
  <si>
    <t>Populaziun residenta permanenta da la Svizra a partir da 15 onns</t>
  </si>
  <si>
    <t>Professiuns libras ed egualas</t>
  </si>
  <si>
    <t>Autras persunas independentas</t>
  </si>
  <si>
    <t>Professiuns academicas e cader superiur</t>
  </si>
  <si>
    <t>professiuns intermediaras</t>
  </si>
  <si>
    <t>Professiuns betg manualas qualifitgadas</t>
  </si>
  <si>
    <t>Professiuns manualas qualifitgadas</t>
  </si>
  <si>
    <t>Emploiads e lavurants betg emprendids</t>
  </si>
  <si>
    <t>Emprendistas ed emprendists en ina furmaziun fundamentala professiunala dubla (emprendists)</t>
  </si>
  <si>
    <t>Persunas cun activitad da gudogn che n'èn betg attribuiblas (datas da basa mancantas u betg cleras u ina cumbinaziun inclausibla)</t>
  </si>
  <si>
    <t>Persunas senza activitad da gudogn e persunas senza activitad da gudogn</t>
  </si>
  <si>
    <t>Stgalim secundar II</t>
  </si>
  <si>
    <t>Stgalim terziar</t>
  </si>
  <si>
    <t>Management suprem</t>
  </si>
  <si>
    <t>Persunas senza activitad da gudogn</t>
  </si>
  <si>
    <t>Persunas cun activitad da gudogn</t>
  </si>
  <si>
    <t>Vertrauens- intervall: ± (in %)</t>
  </si>
  <si>
    <t>Interval da confidenza: ± (en %)</t>
  </si>
  <si>
    <t>Dumber da persunas</t>
  </si>
  <si>
    <t>Funtauna: UST (enquista da structura)</t>
  </si>
  <si>
    <t>&lt;SpaltenTitel_4&gt;</t>
  </si>
  <si>
    <t>Personen ohne Migrationshintergrund</t>
  </si>
  <si>
    <t>Personen mit Migrationshintergrund</t>
  </si>
  <si>
    <t>Migrationshintergrund unbekannt</t>
  </si>
  <si>
    <t>Migrationsstatus nach Kanton</t>
  </si>
  <si>
    <t>Persunas senza il passà da migraziun</t>
  </si>
  <si>
    <t>Persunas cun il passà da migraziun</t>
  </si>
  <si>
    <t>Persone senza passato migratorio</t>
  </si>
  <si>
    <t>Persone con passato migratorio</t>
  </si>
  <si>
    <t>Biografia da migraziun betg enconuschent</t>
  </si>
  <si>
    <t>Passato migratorio sconosciuto</t>
  </si>
  <si>
    <t>Status da migraziun tenor il chantun</t>
  </si>
  <si>
    <t>Statuto migratorio per cantone</t>
  </si>
  <si>
    <t>Migrationsstatus Kanton Graubünden</t>
  </si>
  <si>
    <t>Status da migraziun en il chantun Grischun</t>
  </si>
  <si>
    <t>Statuto migratorio nel cantone Grigioni</t>
  </si>
  <si>
    <t>Staatsangehörigkeit</t>
  </si>
  <si>
    <t>Naziunalitad</t>
  </si>
  <si>
    <t>Cittadinanza</t>
  </si>
  <si>
    <t>Status sul mercato del lavoro</t>
  </si>
  <si>
    <t>Categorie socioprofessionali</t>
  </si>
  <si>
    <t>Istruzione di massimo livello</t>
  </si>
  <si>
    <t>15-24</t>
  </si>
  <si>
    <t>15-64</t>
  </si>
  <si>
    <t>65 und älter</t>
  </si>
  <si>
    <t>65 e dapli</t>
  </si>
  <si>
    <t>65 e più</t>
  </si>
  <si>
    <t>Svizzera</t>
  </si>
  <si>
    <t>Estero</t>
  </si>
  <si>
    <t>Svizra</t>
  </si>
  <si>
    <t>Ester</t>
  </si>
  <si>
    <t>Schweiz</t>
  </si>
  <si>
    <t>Ausland</t>
  </si>
  <si>
    <t>&lt;T2Zeilentitel_5.3&gt;</t>
  </si>
  <si>
    <t>Ohne nachobligatorische Aubildung</t>
  </si>
  <si>
    <t>Senza furmaziun postobligatorica</t>
  </si>
  <si>
    <t>Letztmals aktualisiert am: 09.10.2025</t>
  </si>
  <si>
    <t>Ultima actualisaziun: 09.10.2025</t>
  </si>
  <si>
    <t>Ulimo aggiornamento: 09.10.2025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</si>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</sst>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_ * #,##0_ ;_ * \-#,##0_ ;_ * &quot;-&quot;??_ ;_ @_ "/>
    <numFmt numFmtId="166" formatCode="_-* #,##0.00\ _€_-;\-* #,##0.00\ _€_-;_-* &quot;-&quot;??\ _€_-;_-@_-"/>
    <numFmt numFmtId="167" formatCode="0.0"/>
    <numFmt numFmtId="168" formatCode="\(0.0\)"/>
    <numFmt numFmtId="169" formatCode="#\'##0"/>
    <numFmt numFmtId="170" formatCode="\(0\)"/>
    <numFmt numFmtId="171" formatCode="\(##0\)"/>
    <numFmt numFmtId="172" formatCode="\(#\'##0\)"/>
    <numFmt numFmtId="173" formatCode="#\'###\'##0"/>
  </numFmts>
  <fonts count="20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name val="Arial"/>
      <family val="2"/>
    </font>
    <font>
      <sz val="14"/>
      <color rgb="FFFF0000"/>
      <name val="Arial"/>
      <family val="2"/>
    </font>
    <font>
      <b/>
      <sz val="10"/>
      <color indexed="8"/>
      <name val="Arial Narrow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  <font>
      <sz val="12"/>
      <name val="Arial"/>
      <family val="2"/>
    </font>
    <font>
      <sz val="8"/>
      <color rgb="FF000000"/>
      <name val="Segoe UI"/>
      <family val="2"/>
    </font>
    <font>
      <sz val="10"/>
      <color rgb="FF4C4C4C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auto="1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0" borderId="0"/>
    <xf numFmtId="0" fontId="5" fillId="0" borderId="0"/>
    <xf numFmtId="0" fontId="3" fillId="0" borderId="0"/>
    <xf numFmtId="0" fontId="3" fillId="0" borderId="0"/>
    <xf numFmtId="0" fontId="6" fillId="0" borderId="0"/>
    <xf numFmtId="0" fontId="1" fillId="0" borderId="0"/>
    <xf numFmtId="0" fontId="3" fillId="0" borderId="0"/>
  </cellStyleXfs>
  <cellXfs count="131">
    <xf numFmtId="0" fontId="0" fillId="0" borderId="0" xfId="0"/>
    <xf numFmtId="0" fontId="3" fillId="4" borderId="0" xfId="0" applyFont="1" applyFill="1"/>
    <xf numFmtId="0" fontId="8" fillId="4" borderId="0" xfId="0" applyFont="1" applyFill="1"/>
    <xf numFmtId="0" fontId="9" fillId="3" borderId="0" xfId="0" applyFont="1" applyFill="1" applyAlignment="1">
      <alignment horizontal="left" vertical="top"/>
    </xf>
    <xf numFmtId="0" fontId="10" fillId="3" borderId="0" xfId="0" applyFont="1" applyFill="1" applyAlignment="1">
      <alignment horizontal="left" vertical="top"/>
    </xf>
    <xf numFmtId="165" fontId="10" fillId="3" borderId="0" xfId="1" applyNumberFormat="1" applyFont="1" applyFill="1" applyBorder="1" applyAlignment="1" applyProtection="1">
      <alignment horizontal="left" vertical="top"/>
    </xf>
    <xf numFmtId="0" fontId="2" fillId="0" borderId="0" xfId="0" applyFont="1"/>
    <xf numFmtId="0" fontId="12" fillId="3" borderId="0" xfId="0" applyFont="1" applyFill="1" applyAlignment="1">
      <alignment horizontal="left" vertical="center"/>
    </xf>
    <xf numFmtId="0" fontId="2" fillId="2" borderId="0" xfId="0" applyFont="1" applyFill="1"/>
    <xf numFmtId="3" fontId="2" fillId="0" borderId="0" xfId="0" applyNumberFormat="1" applyFont="1"/>
    <xf numFmtId="169" fontId="2" fillId="0" borderId="0" xfId="0" applyNumberFormat="1" applyFont="1"/>
    <xf numFmtId="167" fontId="3" fillId="5" borderId="5" xfId="3" applyNumberFormat="1" applyFont="1" applyFill="1" applyBorder="1" applyAlignment="1" applyProtection="1">
      <alignment horizontal="right" vertical="center" wrapText="1"/>
    </xf>
    <xf numFmtId="0" fontId="0" fillId="4" borderId="0" xfId="0" applyFill="1"/>
    <xf numFmtId="0" fontId="15" fillId="4" borderId="0" xfId="0" applyFont="1" applyFill="1"/>
    <xf numFmtId="0" fontId="12" fillId="3" borderId="3" xfId="0" applyFont="1" applyFill="1" applyBorder="1" applyAlignment="1">
      <alignment horizontal="left" vertical="center"/>
    </xf>
    <xf numFmtId="0" fontId="14" fillId="6" borderId="0" xfId="0" applyFont="1" applyFill="1" applyBorder="1" applyAlignment="1">
      <alignment horizontal="left" vertical="top" wrapText="1"/>
    </xf>
    <xf numFmtId="0" fontId="2" fillId="7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left" vertical="center" wrapText="1"/>
    </xf>
    <xf numFmtId="0" fontId="2" fillId="8" borderId="0" xfId="0" applyFont="1" applyFill="1" applyBorder="1" applyAlignment="1">
      <alignment wrapText="1"/>
    </xf>
    <xf numFmtId="0" fontId="2" fillId="0" borderId="0" xfId="0" applyFont="1" applyBorder="1" applyAlignment="1">
      <alignment horizontal="left" vertical="top" wrapText="1"/>
    </xf>
    <xf numFmtId="0" fontId="7" fillId="7" borderId="0" xfId="0" applyFont="1" applyFill="1" applyBorder="1" applyAlignment="1">
      <alignment horizontal="left" vertical="top" wrapText="1"/>
    </xf>
    <xf numFmtId="0" fontId="2" fillId="7" borderId="0" xfId="0" applyFont="1" applyFill="1" applyBorder="1" applyAlignment="1" applyProtection="1">
      <alignment horizontal="left" vertical="top" wrapText="1"/>
      <protection locked="0"/>
    </xf>
    <xf numFmtId="0" fontId="2" fillId="8" borderId="0" xfId="0" applyFont="1" applyFill="1" applyBorder="1" applyAlignment="1">
      <alignment horizontal="left" vertical="top" wrapText="1"/>
    </xf>
    <xf numFmtId="0" fontId="17" fillId="0" borderId="0" xfId="0" applyFont="1" applyBorder="1" applyAlignment="1">
      <alignment wrapText="1"/>
    </xf>
    <xf numFmtId="0" fontId="2" fillId="0" borderId="0" xfId="0" applyFont="1" applyBorder="1"/>
    <xf numFmtId="169" fontId="3" fillId="4" borderId="0" xfId="1" applyNumberFormat="1" applyFont="1" applyFill="1" applyBorder="1" applyAlignment="1" applyProtection="1">
      <alignment horizontal="right" vertical="center" wrapText="1"/>
    </xf>
    <xf numFmtId="167" fontId="3" fillId="4" borderId="0" xfId="1" applyNumberFormat="1" applyFont="1" applyFill="1" applyBorder="1" applyAlignment="1" applyProtection="1">
      <alignment horizontal="right" vertical="center" wrapText="1"/>
    </xf>
    <xf numFmtId="1" fontId="3" fillId="4" borderId="0" xfId="1" applyNumberFormat="1" applyFont="1" applyFill="1" applyBorder="1" applyAlignment="1" applyProtection="1">
      <alignment horizontal="right" vertical="center" wrapText="1"/>
    </xf>
    <xf numFmtId="0" fontId="13" fillId="3" borderId="22" xfId="0" applyFont="1" applyFill="1" applyBorder="1" applyAlignment="1">
      <alignment horizontal="left" vertical="center" wrapText="1"/>
    </xf>
    <xf numFmtId="0" fontId="13" fillId="3" borderId="21" xfId="0" applyFont="1" applyFill="1" applyBorder="1" applyAlignment="1">
      <alignment horizontal="left" vertical="center" wrapText="1"/>
    </xf>
    <xf numFmtId="0" fontId="2" fillId="0" borderId="23" xfId="0" applyFont="1" applyBorder="1"/>
    <xf numFmtId="0" fontId="13" fillId="3" borderId="12" xfId="0" applyFont="1" applyFill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top"/>
    </xf>
    <xf numFmtId="0" fontId="2" fillId="0" borderId="12" xfId="0" applyFont="1" applyBorder="1"/>
    <xf numFmtId="0" fontId="2" fillId="0" borderId="13" xfId="0" applyFont="1" applyBorder="1"/>
    <xf numFmtId="0" fontId="8" fillId="4" borderId="0" xfId="0" applyFont="1" applyFill="1" applyAlignment="1">
      <alignment horizontal="left" vertical="top" wrapText="1"/>
    </xf>
    <xf numFmtId="0" fontId="12" fillId="3" borderId="0" xfId="0" applyNumberFormat="1" applyFont="1" applyFill="1" applyBorder="1" applyAlignment="1" applyProtection="1">
      <alignment horizontal="left" vertical="center"/>
    </xf>
    <xf numFmtId="0" fontId="12" fillId="4" borderId="30" xfId="1" applyNumberFormat="1" applyFont="1" applyFill="1" applyBorder="1" applyAlignment="1" applyProtection="1">
      <alignment horizontal="right" vertical="top" wrapText="1"/>
    </xf>
    <xf numFmtId="0" fontId="12" fillId="4" borderId="33" xfId="1" applyNumberFormat="1" applyFont="1" applyFill="1" applyBorder="1" applyAlignment="1" applyProtection="1">
      <alignment horizontal="right" vertical="top" wrapText="1"/>
    </xf>
    <xf numFmtId="0" fontId="12" fillId="4" borderId="35" xfId="1" applyNumberFormat="1" applyFont="1" applyFill="1" applyBorder="1" applyAlignment="1" applyProtection="1">
      <alignment horizontal="right" vertical="top" wrapText="1"/>
    </xf>
    <xf numFmtId="0" fontId="12" fillId="4" borderId="34" xfId="1" applyNumberFormat="1" applyFont="1" applyFill="1" applyBorder="1" applyAlignment="1" applyProtection="1">
      <alignment horizontal="right" vertical="top" wrapText="1"/>
    </xf>
    <xf numFmtId="0" fontId="12" fillId="4" borderId="14" xfId="1" applyNumberFormat="1" applyFont="1" applyFill="1" applyBorder="1" applyAlignment="1" applyProtection="1">
      <alignment horizontal="right" vertical="top" wrapText="1"/>
    </xf>
    <xf numFmtId="0" fontId="12" fillId="4" borderId="36" xfId="1" applyNumberFormat="1" applyFont="1" applyFill="1" applyBorder="1" applyAlignment="1" applyProtection="1">
      <alignment horizontal="right" vertical="top" wrapText="1"/>
    </xf>
    <xf numFmtId="0" fontId="13" fillId="3" borderId="38" xfId="0" applyFont="1" applyFill="1" applyBorder="1" applyAlignment="1">
      <alignment horizontal="left" vertical="center" wrapText="1"/>
    </xf>
    <xf numFmtId="0" fontId="12" fillId="3" borderId="39" xfId="0" applyFont="1" applyFill="1" applyBorder="1" applyAlignment="1">
      <alignment horizontal="left" vertical="center" wrapText="1"/>
    </xf>
    <xf numFmtId="3" fontId="3" fillId="5" borderId="39" xfId="3" applyNumberFormat="1" applyFont="1" applyFill="1" applyBorder="1" applyAlignment="1" applyProtection="1">
      <alignment horizontal="left" vertical="center" wrapText="1"/>
    </xf>
    <xf numFmtId="0" fontId="12" fillId="3" borderId="40" xfId="0" applyFont="1" applyFill="1" applyBorder="1" applyAlignment="1">
      <alignment horizontal="left" vertical="center" wrapText="1"/>
    </xf>
    <xf numFmtId="0" fontId="12" fillId="4" borderId="42" xfId="1" applyNumberFormat="1" applyFont="1" applyFill="1" applyBorder="1" applyAlignment="1" applyProtection="1">
      <alignment horizontal="right" vertical="top" wrapText="1"/>
    </xf>
    <xf numFmtId="0" fontId="12" fillId="4" borderId="41" xfId="1" applyNumberFormat="1" applyFont="1" applyFill="1" applyBorder="1" applyAlignment="1" applyProtection="1">
      <alignment horizontal="right" vertical="top" wrapText="1"/>
    </xf>
    <xf numFmtId="0" fontId="12" fillId="4" borderId="44" xfId="1" applyNumberFormat="1" applyFont="1" applyFill="1" applyBorder="1" applyAlignment="1" applyProtection="1">
      <alignment horizontal="right" vertical="top" wrapText="1"/>
    </xf>
    <xf numFmtId="0" fontId="12" fillId="4" borderId="43" xfId="1" applyNumberFormat="1" applyFont="1" applyFill="1" applyBorder="1" applyAlignment="1" applyProtection="1">
      <alignment horizontal="right" vertical="top" wrapText="1"/>
    </xf>
    <xf numFmtId="0" fontId="12" fillId="4" borderId="11" xfId="1" applyNumberFormat="1" applyFont="1" applyFill="1" applyBorder="1" applyAlignment="1" applyProtection="1">
      <alignment horizontal="right" vertical="top" wrapText="1"/>
    </xf>
    <xf numFmtId="0" fontId="12" fillId="4" borderId="45" xfId="1" applyNumberFormat="1" applyFont="1" applyFill="1" applyBorder="1" applyAlignment="1" applyProtection="1">
      <alignment horizontal="right" vertical="top" wrapText="1"/>
    </xf>
    <xf numFmtId="0" fontId="12" fillId="3" borderId="47" xfId="0" applyFont="1" applyFill="1" applyBorder="1" applyAlignment="1">
      <alignment horizontal="left" vertical="center" wrapText="1"/>
    </xf>
    <xf numFmtId="0" fontId="12" fillId="3" borderId="48" xfId="0" applyFont="1" applyFill="1" applyBorder="1" applyAlignment="1">
      <alignment horizontal="left" vertical="center" wrapText="1"/>
    </xf>
    <xf numFmtId="0" fontId="12" fillId="3" borderId="37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horizontal="left" vertical="center" wrapText="1"/>
    </xf>
    <xf numFmtId="167" fontId="19" fillId="4" borderId="0" xfId="3" applyNumberFormat="1" applyFont="1" applyFill="1" applyBorder="1" applyAlignment="1" applyProtection="1">
      <alignment horizontal="right" vertical="center" wrapText="1"/>
    </xf>
    <xf numFmtId="168" fontId="19" fillId="4" borderId="0" xfId="3" applyNumberFormat="1" applyFont="1" applyFill="1" applyBorder="1" applyAlignment="1" applyProtection="1">
      <alignment horizontal="right" vertical="center" wrapText="1"/>
    </xf>
    <xf numFmtId="167" fontId="3" fillId="4" borderId="0" xfId="3" applyNumberFormat="1" applyFont="1" applyFill="1" applyBorder="1" applyAlignment="1" applyProtection="1">
      <alignment horizontal="right" vertical="center" wrapText="1"/>
    </xf>
    <xf numFmtId="173" fontId="11" fillId="4" borderId="15" xfId="3" applyNumberFormat="1" applyFont="1" applyFill="1" applyBorder="1" applyAlignment="1" applyProtection="1">
      <alignment horizontal="right" vertical="center" wrapText="1"/>
    </xf>
    <xf numFmtId="167" fontId="11" fillId="4" borderId="16" xfId="3" applyNumberFormat="1" applyFont="1" applyFill="1" applyBorder="1" applyAlignment="1" applyProtection="1">
      <alignment horizontal="right" vertical="center" wrapText="1"/>
    </xf>
    <xf numFmtId="173" fontId="3" fillId="4" borderId="24" xfId="3" applyNumberFormat="1" applyFont="1" applyFill="1" applyBorder="1" applyAlignment="1" applyProtection="1">
      <alignment horizontal="right" vertical="center" wrapText="1"/>
    </xf>
    <xf numFmtId="169" fontId="3" fillId="4" borderId="24" xfId="3" applyNumberFormat="1" applyFont="1" applyFill="1" applyBorder="1" applyAlignment="1" applyProtection="1">
      <alignment horizontal="right" vertical="center" wrapText="1"/>
    </xf>
    <xf numFmtId="3" fontId="3" fillId="4" borderId="42" xfId="3" applyNumberFormat="1" applyFont="1" applyFill="1" applyBorder="1" applyAlignment="1" applyProtection="1">
      <alignment horizontal="right" vertical="center" wrapText="1"/>
    </xf>
    <xf numFmtId="167" fontId="3" fillId="4" borderId="11" xfId="3" applyNumberFormat="1" applyFont="1" applyFill="1" applyBorder="1" applyAlignment="1" applyProtection="1">
      <alignment horizontal="right" vertical="center" wrapText="1"/>
    </xf>
    <xf numFmtId="167" fontId="11" fillId="4" borderId="46" xfId="3" applyNumberFormat="1" applyFont="1" applyFill="1" applyBorder="1" applyAlignment="1" applyProtection="1">
      <alignment horizontal="right" vertical="center" wrapText="1"/>
    </xf>
    <xf numFmtId="173" fontId="11" fillId="4" borderId="49" xfId="3" applyNumberFormat="1" applyFont="1" applyFill="1" applyBorder="1" applyAlignment="1" applyProtection="1">
      <alignment horizontal="right" vertical="center" wrapText="1"/>
    </xf>
    <xf numFmtId="167" fontId="3" fillId="4" borderId="5" xfId="3" applyNumberFormat="1" applyFont="1" applyFill="1" applyBorder="1" applyAlignment="1" applyProtection="1">
      <alignment horizontal="right" vertical="center" wrapText="1"/>
    </xf>
    <xf numFmtId="169" fontId="3" fillId="4" borderId="4" xfId="3" applyNumberFormat="1" applyFont="1" applyFill="1" applyBorder="1" applyAlignment="1" applyProtection="1">
      <alignment horizontal="right" vertical="center" wrapText="1"/>
    </xf>
    <xf numFmtId="167" fontId="3" fillId="4" borderId="9" xfId="3" applyNumberFormat="1" applyFont="1" applyFill="1" applyBorder="1" applyAlignment="1" applyProtection="1">
      <alignment horizontal="right" vertical="center" wrapText="1"/>
    </xf>
    <xf numFmtId="3" fontId="3" fillId="4" borderId="10" xfId="3" applyNumberFormat="1" applyFont="1" applyFill="1" applyBorder="1" applyAlignment="1" applyProtection="1">
      <alignment horizontal="right" vertical="center" wrapText="1"/>
    </xf>
    <xf numFmtId="169" fontId="11" fillId="4" borderId="49" xfId="3" applyNumberFormat="1" applyFont="1" applyFill="1" applyBorder="1" applyAlignment="1" applyProtection="1">
      <alignment horizontal="right" vertical="center" wrapText="1"/>
    </xf>
    <xf numFmtId="167" fontId="11" fillId="4" borderId="50" xfId="3" applyNumberFormat="1" applyFont="1" applyFill="1" applyBorder="1" applyAlignment="1" applyProtection="1">
      <alignment horizontal="right" vertical="center" wrapText="1"/>
    </xf>
    <xf numFmtId="167" fontId="3" fillId="4" borderId="51" xfId="3" applyNumberFormat="1" applyFont="1" applyFill="1" applyBorder="1" applyAlignment="1" applyProtection="1">
      <alignment horizontal="right" vertical="center" wrapText="1"/>
    </xf>
    <xf numFmtId="1" fontId="3" fillId="4" borderId="4" xfId="3" applyNumberFormat="1" applyFont="1" applyFill="1" applyBorder="1" applyAlignment="1" applyProtection="1">
      <alignment horizontal="right" vertical="center" wrapText="1"/>
    </xf>
    <xf numFmtId="171" fontId="3" fillId="4" borderId="4" xfId="3" applyNumberFormat="1" applyFont="1" applyFill="1" applyBorder="1" applyAlignment="1" applyProtection="1">
      <alignment horizontal="right" vertical="center" wrapText="1"/>
    </xf>
    <xf numFmtId="168" fontId="3" fillId="4" borderId="51" xfId="3" applyNumberFormat="1" applyFont="1" applyFill="1" applyBorder="1" applyAlignment="1" applyProtection="1">
      <alignment horizontal="right" vertical="center" wrapText="1"/>
    </xf>
    <xf numFmtId="172" fontId="3" fillId="4" borderId="4" xfId="3" applyNumberFormat="1" applyFont="1" applyFill="1" applyBorder="1" applyAlignment="1" applyProtection="1">
      <alignment horizontal="right" vertical="center" wrapText="1"/>
    </xf>
    <xf numFmtId="170" fontId="3" fillId="4" borderId="10" xfId="3" applyNumberFormat="1" applyFont="1" applyFill="1" applyBorder="1" applyAlignment="1" applyProtection="1">
      <alignment horizontal="right" vertical="center" wrapText="1"/>
    </xf>
    <xf numFmtId="168" fontId="3" fillId="4" borderId="52" xfId="3" applyNumberFormat="1" applyFont="1" applyFill="1" applyBorder="1" applyAlignment="1" applyProtection="1">
      <alignment horizontal="right" vertical="center" wrapText="1"/>
    </xf>
    <xf numFmtId="169" fontId="3" fillId="5" borderId="24" xfId="3" applyNumberFormat="1" applyFont="1" applyFill="1" applyBorder="1" applyAlignment="1" applyProtection="1">
      <alignment horizontal="right" vertical="center" wrapText="1"/>
    </xf>
    <xf numFmtId="169" fontId="3" fillId="5" borderId="4" xfId="3" applyNumberFormat="1" applyFont="1" applyFill="1" applyBorder="1" applyAlignment="1" applyProtection="1">
      <alignment horizontal="right" vertical="center" wrapText="1"/>
    </xf>
    <xf numFmtId="167" fontId="3" fillId="5" borderId="0" xfId="3" applyNumberFormat="1" applyFont="1" applyFill="1" applyBorder="1" applyAlignment="1" applyProtection="1">
      <alignment horizontal="right" vertical="center" wrapText="1"/>
    </xf>
    <xf numFmtId="172" fontId="3" fillId="5" borderId="4" xfId="3" applyNumberFormat="1" applyFont="1" applyFill="1" applyBorder="1" applyAlignment="1" applyProtection="1">
      <alignment horizontal="right" vertical="center" wrapText="1"/>
    </xf>
    <xf numFmtId="168" fontId="3" fillId="5" borderId="51" xfId="3" applyNumberFormat="1" applyFont="1" applyFill="1" applyBorder="1" applyAlignment="1" applyProtection="1">
      <alignment horizontal="right" vertical="center" wrapText="1"/>
    </xf>
    <xf numFmtId="167" fontId="18" fillId="4" borderId="16" xfId="3" applyNumberFormat="1" applyFont="1" applyFill="1" applyBorder="1" applyAlignment="1" applyProtection="1">
      <alignment horizontal="right" vertical="center" wrapText="1"/>
    </xf>
    <xf numFmtId="167" fontId="19" fillId="4" borderId="11" xfId="3" applyNumberFormat="1" applyFont="1" applyFill="1" applyBorder="1" applyAlignment="1" applyProtection="1">
      <alignment horizontal="right" vertical="center" wrapText="1"/>
    </xf>
    <xf numFmtId="0" fontId="13" fillId="3" borderId="6" xfId="0" applyFont="1" applyFill="1" applyBorder="1" applyAlignment="1">
      <alignment horizontal="center" vertical="top" wrapText="1"/>
    </xf>
    <xf numFmtId="0" fontId="13" fillId="3" borderId="14" xfId="0" applyFont="1" applyFill="1" applyBorder="1" applyAlignment="1">
      <alignment horizontal="center" vertical="top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13" fillId="5" borderId="26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left" vertical="top" wrapText="1"/>
    </xf>
    <xf numFmtId="0" fontId="9" fillId="5" borderId="27" xfId="0" applyFont="1" applyFill="1" applyBorder="1" applyAlignment="1">
      <alignment horizontal="center"/>
    </xf>
    <xf numFmtId="0" fontId="9" fillId="5" borderId="28" xfId="0" applyFont="1" applyFill="1" applyBorder="1" applyAlignment="1">
      <alignment horizontal="center"/>
    </xf>
    <xf numFmtId="0" fontId="9" fillId="5" borderId="29" xfId="0" applyFont="1" applyFill="1" applyBorder="1" applyAlignment="1">
      <alignment horizontal="center"/>
    </xf>
    <xf numFmtId="0" fontId="13" fillId="5" borderId="31" xfId="0" applyFont="1" applyFill="1" applyBorder="1" applyAlignment="1">
      <alignment horizontal="center" vertical="center" wrapText="1"/>
    </xf>
    <xf numFmtId="0" fontId="13" fillId="5" borderId="3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top" wrapText="1"/>
    </xf>
    <xf numFmtId="0" fontId="13" fillId="3" borderId="20" xfId="0" applyFont="1" applyFill="1" applyBorder="1" applyAlignment="1">
      <alignment horizontal="center" vertical="top" wrapText="1"/>
    </xf>
    <xf numFmtId="0" fontId="13" fillId="5" borderId="18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/>
    </xf>
    <xf numFmtId="0" fontId="9" fillId="5" borderId="16" xfId="0" applyFont="1" applyFill="1" applyBorder="1" applyAlignment="1">
      <alignment horizontal="center"/>
    </xf>
    <xf numFmtId="0" fontId="9" fillId="5" borderId="17" xfId="0" applyFont="1" applyFill="1" applyBorder="1" applyAlignment="1">
      <alignment horizontal="center"/>
    </xf>
    <xf numFmtId="169" fontId="18" fillId="4" borderId="15" xfId="3" applyNumberFormat="1" applyFont="1" applyFill="1" applyBorder="1" applyAlignment="1" applyProtection="1">
      <alignment horizontal="right" vertical="center" wrapText="1"/>
    </xf>
    <xf numFmtId="169" fontId="19" fillId="4" borderId="24" xfId="3" applyNumberFormat="1" applyFont="1" applyFill="1" applyBorder="1" applyAlignment="1" applyProtection="1">
      <alignment horizontal="right" vertical="center" wrapText="1"/>
    </xf>
    <xf numFmtId="172" fontId="19" fillId="4" borderId="24" xfId="3" applyNumberFormat="1" applyFont="1" applyFill="1" applyBorder="1" applyAlignment="1" applyProtection="1">
      <alignment horizontal="right" vertical="center" wrapText="1"/>
    </xf>
    <xf numFmtId="169" fontId="19" fillId="4" borderId="42" xfId="3" applyNumberFormat="1" applyFont="1" applyFill="1" applyBorder="1" applyAlignment="1" applyProtection="1">
      <alignment horizontal="right" vertical="center" wrapText="1"/>
    </xf>
    <xf numFmtId="167" fontId="18" fillId="4" borderId="46" xfId="3" applyNumberFormat="1" applyFont="1" applyFill="1" applyBorder="1" applyAlignment="1" applyProtection="1">
      <alignment horizontal="right" vertical="center" wrapText="1"/>
    </xf>
    <xf numFmtId="169" fontId="18" fillId="4" borderId="49" xfId="3" applyNumberFormat="1" applyFont="1" applyFill="1" applyBorder="1" applyAlignment="1" applyProtection="1">
      <alignment horizontal="right" vertical="center" wrapText="1"/>
    </xf>
    <xf numFmtId="167" fontId="19" fillId="4" borderId="5" xfId="3" applyNumberFormat="1" applyFont="1" applyFill="1" applyBorder="1" applyAlignment="1" applyProtection="1">
      <alignment horizontal="right" vertical="center" wrapText="1"/>
    </xf>
    <xf numFmtId="169" fontId="19" fillId="4" borderId="4" xfId="3" applyNumberFormat="1" applyFont="1" applyFill="1" applyBorder="1" applyAlignment="1" applyProtection="1">
      <alignment horizontal="right" vertical="center" wrapText="1"/>
    </xf>
    <xf numFmtId="1" fontId="19" fillId="4" borderId="4" xfId="3" applyNumberFormat="1" applyFont="1" applyFill="1" applyBorder="1" applyAlignment="1" applyProtection="1">
      <alignment horizontal="right" vertical="center" wrapText="1"/>
    </xf>
    <xf numFmtId="172" fontId="19" fillId="4" borderId="4" xfId="3" applyNumberFormat="1" applyFont="1" applyFill="1" applyBorder="1" applyAlignment="1" applyProtection="1">
      <alignment horizontal="right" vertical="center" wrapText="1"/>
    </xf>
    <xf numFmtId="168" fontId="19" fillId="4" borderId="5" xfId="3" applyNumberFormat="1" applyFont="1" applyFill="1" applyBorder="1" applyAlignment="1" applyProtection="1">
      <alignment horizontal="right" vertical="center" wrapText="1"/>
    </xf>
    <xf numFmtId="170" fontId="19" fillId="4" borderId="4" xfId="3" applyNumberFormat="1" applyFont="1" applyFill="1" applyBorder="1" applyAlignment="1" applyProtection="1">
      <alignment horizontal="right" vertical="center" wrapText="1"/>
    </xf>
    <xf numFmtId="167" fontId="19" fillId="4" borderId="9" xfId="3" applyNumberFormat="1" applyFont="1" applyFill="1" applyBorder="1" applyAlignment="1" applyProtection="1">
      <alignment horizontal="right" vertical="center" wrapText="1"/>
    </xf>
    <xf numFmtId="169" fontId="19" fillId="4" borderId="10" xfId="3" applyNumberFormat="1" applyFont="1" applyFill="1" applyBorder="1" applyAlignment="1" applyProtection="1">
      <alignment horizontal="right" vertical="center" wrapText="1"/>
    </xf>
    <xf numFmtId="172" fontId="18" fillId="4" borderId="49" xfId="3" applyNumberFormat="1" applyFont="1" applyFill="1" applyBorder="1" applyAlignment="1" applyProtection="1">
      <alignment horizontal="right" vertical="center" wrapText="1"/>
    </xf>
    <xf numFmtId="168" fontId="18" fillId="4" borderId="50" xfId="3" applyNumberFormat="1" applyFont="1" applyFill="1" applyBorder="1" applyAlignment="1" applyProtection="1">
      <alignment horizontal="right" vertical="center" wrapText="1"/>
    </xf>
    <xf numFmtId="168" fontId="19" fillId="4" borderId="51" xfId="3" applyNumberFormat="1" applyFont="1" applyFill="1" applyBorder="1" applyAlignment="1" applyProtection="1">
      <alignment horizontal="right" vertical="center" wrapText="1"/>
    </xf>
    <xf numFmtId="167" fontId="19" fillId="4" borderId="51" xfId="3" applyNumberFormat="1" applyFont="1" applyFill="1" applyBorder="1" applyAlignment="1" applyProtection="1">
      <alignment horizontal="right" vertical="center" wrapText="1"/>
    </xf>
    <xf numFmtId="3" fontId="19" fillId="4" borderId="4" xfId="3" applyNumberFormat="1" applyFont="1" applyFill="1" applyBorder="1" applyAlignment="1" applyProtection="1">
      <alignment horizontal="right" vertical="center" wrapText="1"/>
    </xf>
    <xf numFmtId="1" fontId="19" fillId="4" borderId="10" xfId="3" applyNumberFormat="1" applyFont="1" applyFill="1" applyBorder="1" applyAlignment="1" applyProtection="1">
      <alignment horizontal="right" vertical="center" wrapText="1"/>
    </xf>
    <xf numFmtId="167" fontId="19" fillId="4" borderId="52" xfId="3" applyNumberFormat="1" applyFont="1" applyFill="1" applyBorder="1" applyAlignment="1" applyProtection="1">
      <alignment horizontal="right" vertical="center" wrapText="1"/>
    </xf>
  </cellXfs>
  <cellStyles count="11">
    <cellStyle name="Komma" xfId="1" builtinId="3"/>
    <cellStyle name="Komma 2" xfId="2" xr:uid="{00000000-0005-0000-0000-000001000000}"/>
    <cellStyle name="Komma 3" xfId="3" xr:uid="{00000000-0005-0000-0000-000002000000}"/>
    <cellStyle name="Normale 2" xfId="10" xr:uid="{00000000-0005-0000-0000-000003000000}"/>
    <cellStyle name="Standard" xfId="0" builtinId="0"/>
    <cellStyle name="Standard 2" xfId="4" xr:uid="{00000000-0005-0000-0000-000005000000}"/>
    <cellStyle name="Standard 2 2" xfId="7" xr:uid="{00000000-0005-0000-0000-000006000000}"/>
    <cellStyle name="Standard 3" xfId="5" xr:uid="{00000000-0005-0000-0000-000007000000}"/>
    <cellStyle name="Standard 4" xfId="6" xr:uid="{00000000-0005-0000-0000-000008000000}"/>
    <cellStyle name="Standard 4 2" xfId="8" xr:uid="{00000000-0005-0000-0000-000009000000}"/>
    <cellStyle name="Standard 5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854075</xdr:colOff>
      <xdr:row>5</xdr:row>
      <xdr:rowOff>32777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4</xdr:col>
      <xdr:colOff>876300</xdr:colOff>
      <xdr:row>0</xdr:row>
      <xdr:rowOff>19050</xdr:rowOff>
    </xdr:from>
    <xdr:to>
      <xdr:col>7</xdr:col>
      <xdr:colOff>800714</xdr:colOff>
      <xdr:row>4</xdr:row>
      <xdr:rowOff>145523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91100" y="19050"/>
          <a:ext cx="2639039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663575</xdr:colOff>
      <xdr:row>5</xdr:row>
      <xdr:rowOff>32777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2</xdr:col>
      <xdr:colOff>695325</xdr:colOff>
      <xdr:row>0</xdr:row>
      <xdr:rowOff>19050</xdr:rowOff>
    </xdr:from>
    <xdr:to>
      <xdr:col>6</xdr:col>
      <xdr:colOff>410189</xdr:colOff>
      <xdr:row>4</xdr:row>
      <xdr:rowOff>145523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5000625" y="19050"/>
          <a:ext cx="2610464" cy="888473"/>
          <a:chOff x="51054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51054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49" name="Option Button 1" hidden="1">
                <a:extLst>
                  <a:ext uri="{63B3BB69-23CF-44E3-9099-C40C66FF867C}">
                    <a14:compatExt spid="_x0000_s2049"/>
                  </a:ext>
                  <a:ext uri="{FF2B5EF4-FFF2-40B4-BE49-F238E27FC236}">
                    <a16:creationId xmlns:a16="http://schemas.microsoft.com/office/drawing/2014/main" id="{00000000-0008-0000-0100-000001080000}"/>
                  </a:ext>
                </a:extLst>
              </xdr:cNvPr>
              <xdr:cNvSpPr/>
            </xdr:nvSpPr>
            <xdr:spPr bwMode="auto">
              <a:xfrm>
                <a:off x="5762625" y="304800"/>
                <a:ext cx="104775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0" name="Option Button 2" hidden="1">
                <a:extLst>
                  <a:ext uri="{63B3BB69-23CF-44E3-9099-C40C66FF867C}">
                    <a14:compatExt spid="_x0000_s2050"/>
                  </a:ext>
                  <a:ext uri="{FF2B5EF4-FFF2-40B4-BE49-F238E27FC236}">
                    <a16:creationId xmlns:a16="http://schemas.microsoft.com/office/drawing/2014/main" id="{00000000-0008-0000-0100-000002080000}"/>
                  </a:ext>
                </a:extLst>
              </xdr:cNvPr>
              <xdr:cNvSpPr/>
            </xdr:nvSpPr>
            <xdr:spPr bwMode="auto">
              <a:xfrm>
                <a:off x="5762625" y="495300"/>
                <a:ext cx="140970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1" name="Option Button 3" hidden="1">
                <a:extLst>
                  <a:ext uri="{63B3BB69-23CF-44E3-9099-C40C66FF867C}">
                    <a14:compatExt spid="_x0000_s2051"/>
                  </a:ext>
                  <a:ext uri="{FF2B5EF4-FFF2-40B4-BE49-F238E27FC236}">
                    <a16:creationId xmlns:a16="http://schemas.microsoft.com/office/drawing/2014/main" id="{00000000-0008-0000-0100-000003080000}"/>
                  </a:ext>
                </a:extLst>
              </xdr:cNvPr>
              <xdr:cNvSpPr/>
            </xdr:nvSpPr>
            <xdr:spPr bwMode="auto">
              <a:xfrm>
                <a:off x="5762625" y="657225"/>
                <a:ext cx="104775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t.gr.ch\kt\awt_daten\05%20-%20Statistik\1.Daten\01%20BEVOELKERUNG\Bev&#246;lkerung%20-%20Strukturerhebung\2023\1020_Doppelbuergerschaften,%20Schweiz%20und%20Graubuenden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weiz 2022"/>
      <sheetName val="Graubünden 2022"/>
      <sheetName val="Uebersetzungen"/>
    </sheetNames>
    <sheetDataSet>
      <sheetData sheetId="0"/>
      <sheetData sheetId="1"/>
      <sheetData sheetId="2">
        <row r="2">
          <cell r="B2">
            <v>1</v>
          </cell>
        </row>
        <row r="3">
          <cell r="B3" t="str">
            <v>&lt;Fachbereich&gt;</v>
          </cell>
          <cell r="C3" t="str">
            <v>Daten &amp; Statistik</v>
          </cell>
          <cell r="D3" t="str">
            <v>Datas &amp; Statistica</v>
          </cell>
          <cell r="E3" t="str">
            <v>Dati &amp; Statistica</v>
          </cell>
        </row>
        <row r="4">
          <cell r="B4" t="str">
            <v>&lt;Titel&gt;</v>
          </cell>
          <cell r="C4" t="str">
            <v>Doppelbürgerschaft nach soziodemografischen Merkmalen und Kanton</v>
          </cell>
          <cell r="D4" t="str">
            <v>Natiralisaziun dubla tenor caracteristicas sociodemograficas e tenor il chantun</v>
          </cell>
          <cell r="E4" t="str">
            <v>Doppia cittadinanza secondo diverse caratteristiche socio-demografiche e il Cantone</v>
          </cell>
        </row>
        <row r="5">
          <cell r="B5" t="str">
            <v>&lt;UTitel&gt;</v>
          </cell>
          <cell r="C5" t="str">
            <v>Ständige schweizerische Wohnbevölkerung ab 15 Jahren</v>
          </cell>
          <cell r="D5" t="str">
            <v>Populaziun residenta permanenta da la Svizra a partir da 15 onns</v>
          </cell>
          <cell r="E5" t="str">
            <v>Popolazione residente permanente svizzera di 15 anni e più</v>
          </cell>
        </row>
        <row r="6">
          <cell r="B6"/>
          <cell r="C6"/>
          <cell r="D6"/>
          <cell r="E6"/>
        </row>
        <row r="7">
          <cell r="B7" t="str">
            <v>&lt;SpaltenTitel_1&gt;</v>
          </cell>
          <cell r="C7" t="str">
            <v>Total</v>
          </cell>
          <cell r="D7" t="str">
            <v>Total</v>
          </cell>
          <cell r="E7" t="str">
            <v>Totale</v>
          </cell>
        </row>
        <row r="8">
          <cell r="B8" t="str">
            <v>&lt;SpaltenTitel_2&gt;</v>
          </cell>
          <cell r="C8" t="str">
            <v>Schweizer mit weiterer Staatsangehörigkeit</v>
          </cell>
          <cell r="D8" t="str">
            <v>Svizras e Svizzers cun in'ulteriura naziunalitad</v>
          </cell>
          <cell r="E8" t="str">
            <v>Svizzeri/e con un'altra cittadinanza</v>
          </cell>
        </row>
        <row r="9">
          <cell r="B9" t="str">
            <v>&lt;SpaltenTitel_3&gt;</v>
          </cell>
          <cell r="C9" t="str">
            <v>Schweizer ohne weitere Staatsangehörigkeit</v>
          </cell>
          <cell r="D9" t="str">
            <v>Svizzers senza ulteriura naziunalitad</v>
          </cell>
          <cell r="E9" t="str">
            <v>Svizzeri/e che non hanno un'altra cittadinanza</v>
          </cell>
        </row>
        <row r="10">
          <cell r="B10"/>
          <cell r="C10"/>
          <cell r="D10"/>
          <cell r="E10"/>
        </row>
        <row r="11">
          <cell r="B11" t="str">
            <v>&lt;SpaltenTitel_1.1&gt;</v>
          </cell>
          <cell r="C11" t="str">
            <v>Anzahl Personen</v>
          </cell>
          <cell r="D11" t="str">
            <v>Dumber da persunas</v>
          </cell>
          <cell r="E11" t="str">
            <v>Numero di persone</v>
          </cell>
        </row>
        <row r="12">
          <cell r="B12" t="str">
            <v>&lt;SpaltenTitel_1.2&gt;</v>
          </cell>
          <cell r="C12" t="str">
            <v>Vertrauens- intervall: ± (in %)</v>
          </cell>
          <cell r="D12" t="str">
            <v>Interval da confidenza: ± (en %)</v>
          </cell>
          <cell r="E12" t="str">
            <v>Intervallo di confidenza: ± (in %)</v>
          </cell>
        </row>
        <row r="13">
          <cell r="B13" t="str">
            <v>&lt;SpaltenTitel_2.1&gt;</v>
          </cell>
          <cell r="C13" t="str">
            <v>Anzahl Personen</v>
          </cell>
          <cell r="D13" t="str">
            <v>Dumber da persunas</v>
          </cell>
          <cell r="E13" t="str">
            <v>Numero di persone</v>
          </cell>
        </row>
        <row r="14">
          <cell r="B14" t="str">
            <v>&lt;SpaltenTitel_2.2&gt;</v>
          </cell>
          <cell r="C14" t="str">
            <v>Vertrauens- intervall: ± (in %)</v>
          </cell>
          <cell r="D14" t="str">
            <v>Interval da confidenza: ± (en %)</v>
          </cell>
          <cell r="E14" t="str">
            <v>Intervallo di confidenza: ± (in %)</v>
          </cell>
        </row>
        <row r="15">
          <cell r="B15" t="str">
            <v>&lt;SpaltenTitel_3.1&gt;</v>
          </cell>
          <cell r="C15" t="str">
            <v>Anzahl Personen</v>
          </cell>
          <cell r="D15" t="str">
            <v>Dumber da persunas</v>
          </cell>
          <cell r="E15" t="str">
            <v>Numero di persone</v>
          </cell>
        </row>
        <row r="16">
          <cell r="B16" t="str">
            <v>&lt;SpaltenTitel_3.2&gt;</v>
          </cell>
          <cell r="C16" t="str">
            <v>Vertrauens- intervall: ± (in %)</v>
          </cell>
          <cell r="D16" t="str">
            <v>Interval da confidenza: ± (en %)</v>
          </cell>
          <cell r="E16" t="str">
            <v>Intervallo di confidenza: ± (in %)</v>
          </cell>
        </row>
        <row r="17">
          <cell r="B17"/>
          <cell r="C17"/>
          <cell r="D17"/>
          <cell r="E17"/>
        </row>
        <row r="18">
          <cell r="B18" t="str">
            <v>&lt;Zeilentitel_1&gt;</v>
          </cell>
          <cell r="C18" t="str">
            <v>Total</v>
          </cell>
          <cell r="D18" t="str">
            <v>Total</v>
          </cell>
          <cell r="E18" t="str">
            <v>Totale</v>
          </cell>
        </row>
        <row r="19">
          <cell r="B19" t="str">
            <v>&lt;Zeilentitel_2&gt;</v>
          </cell>
          <cell r="C19" t="str">
            <v>Zürich</v>
          </cell>
          <cell r="D19" t="str">
            <v>Turitg</v>
          </cell>
          <cell r="E19" t="str">
            <v>Zurigo</v>
          </cell>
        </row>
        <row r="20">
          <cell r="B20" t="str">
            <v>&lt;Zeilentitel_3&gt;</v>
          </cell>
          <cell r="C20" t="str">
            <v>Bern</v>
          </cell>
          <cell r="D20" t="str">
            <v>Berna</v>
          </cell>
          <cell r="E20" t="str">
            <v>Berna</v>
          </cell>
        </row>
        <row r="21">
          <cell r="B21" t="str">
            <v>&lt;Zeilentitel_4&gt;</v>
          </cell>
          <cell r="C21" t="str">
            <v>Luzern</v>
          </cell>
          <cell r="D21" t="str">
            <v>Lucerna</v>
          </cell>
          <cell r="E21" t="str">
            <v>Lucerna</v>
          </cell>
        </row>
        <row r="22">
          <cell r="B22" t="str">
            <v>&lt;Zeilentitel_5&gt;</v>
          </cell>
          <cell r="C22" t="str">
            <v>Uri</v>
          </cell>
          <cell r="D22" t="str">
            <v>Uri</v>
          </cell>
          <cell r="E22" t="str">
            <v>Uri</v>
          </cell>
        </row>
        <row r="23">
          <cell r="B23" t="str">
            <v>&lt;Zeilentitel_6&gt;</v>
          </cell>
          <cell r="C23" t="str">
            <v>Schwyz</v>
          </cell>
          <cell r="D23" t="str">
            <v>Sviz</v>
          </cell>
          <cell r="E23" t="str">
            <v>Svitto</v>
          </cell>
        </row>
        <row r="24">
          <cell r="B24" t="str">
            <v>&lt;Zeilentitel_7&gt;</v>
          </cell>
          <cell r="C24" t="str">
            <v>Obwalden</v>
          </cell>
          <cell r="D24" t="str">
            <v>Sursilvania</v>
          </cell>
          <cell r="E24" t="str">
            <v>Obvaldo</v>
          </cell>
        </row>
        <row r="25">
          <cell r="B25" t="str">
            <v>&lt;Zeilentitel_8&gt;</v>
          </cell>
          <cell r="C25" t="str">
            <v>Nidwalden</v>
          </cell>
          <cell r="D25" t="str">
            <v>Sutsilvania</v>
          </cell>
          <cell r="E25" t="str">
            <v>Nidvaldo</v>
          </cell>
        </row>
        <row r="26">
          <cell r="B26" t="str">
            <v>&lt;Zeilentitel_9&gt;</v>
          </cell>
          <cell r="C26" t="str">
            <v>Glarus</v>
          </cell>
          <cell r="D26" t="str">
            <v>Glaruna</v>
          </cell>
          <cell r="E26" t="str">
            <v>Glarona</v>
          </cell>
        </row>
        <row r="27">
          <cell r="B27" t="str">
            <v>&lt;Zeilentitel_10&gt;</v>
          </cell>
          <cell r="C27" t="str">
            <v>Zug</v>
          </cell>
          <cell r="D27" t="str">
            <v>Zug</v>
          </cell>
          <cell r="E27" t="str">
            <v>Zugo</v>
          </cell>
        </row>
        <row r="28">
          <cell r="B28" t="str">
            <v>&lt;Zeilentitel_11&gt;</v>
          </cell>
          <cell r="C28" t="str">
            <v>Freiburg</v>
          </cell>
          <cell r="D28" t="str">
            <v>Friburg</v>
          </cell>
          <cell r="E28" t="str">
            <v>Friborgo</v>
          </cell>
        </row>
        <row r="29">
          <cell r="B29" t="str">
            <v>&lt;Zeilentitel_12&gt;</v>
          </cell>
          <cell r="C29" t="str">
            <v>Solothurn</v>
          </cell>
          <cell r="D29" t="str">
            <v>Soloturn</v>
          </cell>
          <cell r="E29" t="str">
            <v>Soletta</v>
          </cell>
        </row>
        <row r="30">
          <cell r="B30" t="str">
            <v>&lt;Zeilentitel_13&gt;</v>
          </cell>
          <cell r="C30" t="str">
            <v>Basel-Stadt</v>
          </cell>
          <cell r="D30" t="str">
            <v>Basilea-Citad</v>
          </cell>
          <cell r="E30" t="str">
            <v>Basilea Città</v>
          </cell>
        </row>
        <row r="31">
          <cell r="B31" t="str">
            <v>&lt;Zeilentitel_14&gt;</v>
          </cell>
          <cell r="C31" t="str">
            <v>Basel-Landschaft</v>
          </cell>
          <cell r="D31" t="str">
            <v>Basilea-Champagna</v>
          </cell>
          <cell r="E31" t="str">
            <v>Basilea Campagna</v>
          </cell>
        </row>
        <row r="32">
          <cell r="B32" t="str">
            <v>&lt;Zeilentitel_15&gt;</v>
          </cell>
          <cell r="C32" t="str">
            <v>Schaffhausen</v>
          </cell>
          <cell r="D32" t="str">
            <v>Schaffusa</v>
          </cell>
          <cell r="E32" t="str">
            <v>Sciaffusa</v>
          </cell>
        </row>
        <row r="33">
          <cell r="B33" t="str">
            <v>&lt;Zeilentitel_16&gt;</v>
          </cell>
          <cell r="C33" t="str">
            <v>Appenzell Ausserrhoden</v>
          </cell>
          <cell r="D33" t="str">
            <v>Appenzell Dadora</v>
          </cell>
          <cell r="E33" t="str">
            <v>Appenzello Esterno</v>
          </cell>
        </row>
        <row r="34">
          <cell r="B34" t="str">
            <v>&lt;Zeilentitel_17&gt;</v>
          </cell>
          <cell r="C34" t="str">
            <v>Appenzell Innerrhoden</v>
          </cell>
          <cell r="D34" t="str">
            <v>Appenzell Dadens</v>
          </cell>
          <cell r="E34" t="str">
            <v>Appenzello Interno</v>
          </cell>
        </row>
        <row r="35">
          <cell r="B35" t="str">
            <v>&lt;Zeilentitel_18&gt;</v>
          </cell>
          <cell r="C35" t="str">
            <v>St. Gallen</v>
          </cell>
          <cell r="D35" t="str">
            <v>Son Gagl</v>
          </cell>
          <cell r="E35" t="str">
            <v>San Gallo</v>
          </cell>
        </row>
        <row r="36">
          <cell r="B36" t="str">
            <v>&lt;Zeilentitel_19&gt;</v>
          </cell>
          <cell r="C36" t="str">
            <v>Graubünden</v>
          </cell>
          <cell r="D36" t="str">
            <v>Grischun</v>
          </cell>
          <cell r="E36" t="str">
            <v>Grigioni</v>
          </cell>
        </row>
        <row r="37">
          <cell r="B37" t="str">
            <v>&lt;Zeilentitel_20&gt;</v>
          </cell>
          <cell r="C37" t="str">
            <v>Aargau</v>
          </cell>
          <cell r="D37" t="str">
            <v>Argovia</v>
          </cell>
          <cell r="E37" t="str">
            <v>Argovia</v>
          </cell>
        </row>
        <row r="38">
          <cell r="B38" t="str">
            <v>&lt;Zeilentitel_21&gt;</v>
          </cell>
          <cell r="C38" t="str">
            <v>Thurgau</v>
          </cell>
          <cell r="D38" t="str">
            <v>Turgovia</v>
          </cell>
          <cell r="E38" t="str">
            <v>Turgovia</v>
          </cell>
        </row>
        <row r="39">
          <cell r="B39" t="str">
            <v>&lt;Zeilentitel_22&gt;</v>
          </cell>
          <cell r="C39" t="str">
            <v>Tessin</v>
          </cell>
          <cell r="D39" t="str">
            <v>Tessin</v>
          </cell>
          <cell r="E39" t="str">
            <v>Ticino</v>
          </cell>
        </row>
        <row r="40">
          <cell r="B40" t="str">
            <v>&lt;Zeilentitel_23&gt;</v>
          </cell>
          <cell r="C40" t="str">
            <v>Waadt</v>
          </cell>
          <cell r="D40" t="str">
            <v>Vad</v>
          </cell>
          <cell r="E40" t="str">
            <v>Vaud</v>
          </cell>
        </row>
        <row r="41">
          <cell r="B41" t="str">
            <v>&lt;Zeilentitel_24&gt;</v>
          </cell>
          <cell r="C41" t="str">
            <v>Wallis</v>
          </cell>
          <cell r="D41" t="str">
            <v>Vallais</v>
          </cell>
          <cell r="E41" t="str">
            <v>Vallese</v>
          </cell>
        </row>
        <row r="42">
          <cell r="B42" t="str">
            <v>&lt;Zeilentitel_25&gt;</v>
          </cell>
          <cell r="C42" t="str">
            <v>Neuenburg</v>
          </cell>
          <cell r="D42" t="str">
            <v>Neuchâtel</v>
          </cell>
          <cell r="E42" t="str">
            <v>Neuchâtel</v>
          </cell>
        </row>
        <row r="43">
          <cell r="B43" t="str">
            <v>&lt;Zeilentitel_26&gt;</v>
          </cell>
          <cell r="C43" t="str">
            <v>Genf</v>
          </cell>
          <cell r="D43" t="str">
            <v>Genevra</v>
          </cell>
          <cell r="E43" t="str">
            <v>Ginevra</v>
          </cell>
        </row>
        <row r="44">
          <cell r="B44" t="str">
            <v>&lt;Zeilentitel_27&gt;</v>
          </cell>
          <cell r="C44" t="str">
            <v>Jura</v>
          </cell>
          <cell r="D44" t="str">
            <v>Giura</v>
          </cell>
          <cell r="E44" t="str">
            <v>Giura</v>
          </cell>
        </row>
        <row r="45">
          <cell r="B45"/>
          <cell r="C45"/>
          <cell r="D45"/>
          <cell r="E45"/>
        </row>
        <row r="46">
          <cell r="B46" t="str">
            <v>&lt;Legende_1&gt;</v>
          </cell>
          <cell r="C46" t="str">
            <v>(): Extrapolation aufgrund von 49 oder weniger Beobachtungen. Die Resultate sind mit grosser Vorsicht zu interpretieren.</v>
          </cell>
          <cell r="D46" t="str">
            <v>(): Extrapolaziun sin basa da 49 u damain observaziuns. Ils resultats ston vegnir interpretads cun gronda precauziun.</v>
          </cell>
          <cell r="E46" t="str">
            <v>(): Estrapolazione basata su meno di 50 osservazioni. I risultati sono da interpretare con molta precauzione.</v>
          </cell>
        </row>
        <row r="47">
          <cell r="B47" t="str">
            <v>&lt;Legende_2&gt;</v>
          </cell>
          <cell r="C47" t="str">
            <v>X: Extrapolation aufgrund von 4 oder weniger Beobachtungen. Die Resultate werden aus Gründen des Datenschutzes nicht publiziert.</v>
          </cell>
          <cell r="D47" t="str">
            <v>X: Extrapolaziun pervia da 4 u damain observaziuns. Per motivs da la protecziun da datas na vegnan ils resultats betg publitgads.</v>
          </cell>
          <cell r="E47" t="str">
            <v>X : Estrapolazione basata su meno di 5 osservazioni. I risultati non sono pubblicati per ragioni legate alla protezione dei dati.</v>
          </cell>
        </row>
        <row r="48">
          <cell r="B48" t="str">
            <v>&lt;Legende_3&gt;</v>
          </cell>
          <cell r="C48" t="str">
            <v>Die Grundgesamtheit der Strukturerhebung enthält alle Personen der ständigen Wohnbevölkerung ab vollendetem 15. Altersjahr, die in Privathaushalten leben.</v>
          </cell>
          <cell r="D48" t="str">
            <v>La survista da basa da l'enquista da structura cumpiglia tut las persunas da la populaziun residenta permanenta a partir da 15 onns che vivan en chasadas privatas.</v>
          </cell>
          <cell r="E48" t="str">
            <v>L'universo di base della rilevazione strutturale comprende tutte le persone facenti parte della popolazione residente permanente di 15 anni e più che vivono in un'economia domestica.</v>
          </cell>
        </row>
        <row r="49">
          <cell r="B49" t="str">
            <v>&lt;Legende_4&gt;</v>
          </cell>
          <cell r="C49" t="str">
            <v>Aus der Grundgesamtheit ausgeschlossen wurden neben den Personen, die in Kollektivhaushalten leben, auch Diplomaten, internationale Funktionäre und deren Angehörige.</v>
          </cell>
          <cell r="D49" t="str">
            <v>Exclus da la totalitad fundamentala èn vegnids ultra da las persunas che vivan en chasadas collectivas er diplomats, funcziunaris internaziunals e lur confamigliars.</v>
          </cell>
          <cell r="E49" t="str">
            <v>Sono esclusi diplomatici, i funzionari internazionali ed i loro familiari e le persone che vivono in una collettività.</v>
          </cell>
        </row>
        <row r="50">
          <cell r="B50"/>
          <cell r="C50"/>
          <cell r="D50"/>
          <cell r="E50"/>
        </row>
        <row r="51">
          <cell r="B51" t="str">
            <v>&lt;Quelle_1&gt;</v>
          </cell>
          <cell r="C51" t="str">
            <v>Quelle: BFS (Strukturerhebung)</v>
          </cell>
          <cell r="D51" t="str">
            <v>Funtauna: UST (enquista da structura)</v>
          </cell>
          <cell r="E51" t="str">
            <v>Fonte: UST - Rilevazione strutturale (RS)</v>
          </cell>
        </row>
        <row r="52">
          <cell r="B52" t="str">
            <v>&lt;Aktualisierung&gt;</v>
          </cell>
          <cell r="C52" t="str">
            <v>Letztmals aktualisiert am: 26.01.2024</v>
          </cell>
          <cell r="D52" t="str">
            <v>Ultima actualisaziun: 26.01.2024</v>
          </cell>
          <cell r="E52" t="str">
            <v>Ulimo aggiornamento: 26.01.2024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showGridLines="0" tabSelected="1" zoomScaleNormal="100" workbookViewId="0"/>
  </sheetViews>
  <sheetFormatPr baseColWidth="10" defaultRowHeight="12.75" x14ac:dyDescent="0.2"/>
  <cols>
    <col min="1" max="1" width="18.375" style="6" customWidth="1"/>
    <col min="2" max="9" width="11.875" style="6" customWidth="1"/>
    <col min="10" max="16384" width="11" style="6"/>
  </cols>
  <sheetData>
    <row r="1" spans="1:11" s="1" customFormat="1" x14ac:dyDescent="0.2"/>
    <row r="2" spans="1:11" s="1" customFormat="1" ht="15.75" x14ac:dyDescent="0.25">
      <c r="B2" s="2"/>
      <c r="C2" s="12"/>
      <c r="D2" s="12"/>
      <c r="E2" s="12"/>
      <c r="F2" s="12"/>
    </row>
    <row r="3" spans="1:11" s="1" customFormat="1" ht="15.75" x14ac:dyDescent="0.25">
      <c r="B3" s="2"/>
      <c r="C3" s="12"/>
      <c r="D3" s="12"/>
      <c r="E3" s="12"/>
      <c r="F3" s="12"/>
    </row>
    <row r="4" spans="1:11" s="1" customFormat="1" ht="15.75" x14ac:dyDescent="0.25">
      <c r="B4" s="2"/>
      <c r="C4" s="12"/>
      <c r="D4" s="12"/>
      <c r="E4" s="12"/>
      <c r="F4" s="12"/>
    </row>
    <row r="5" spans="1:11" s="1" customFormat="1" x14ac:dyDescent="0.2"/>
    <row r="6" spans="1:11" s="1" customFormat="1" x14ac:dyDescent="0.2"/>
    <row r="7" spans="1:11" s="1" customFormat="1" ht="15.75" customHeight="1" x14ac:dyDescent="0.2">
      <c r="A7" s="96" t="str">
        <f>VLOOKUP("&lt;Fachbereich&gt;",Uebersetzungen!$B$3:$E$28,Uebersetzungen!$B$2+1,FALSE)</f>
        <v>Daten &amp; Statistik</v>
      </c>
      <c r="B7" s="96"/>
      <c r="C7" s="96"/>
      <c r="D7" s="96"/>
      <c r="E7" s="96"/>
      <c r="F7" s="96"/>
      <c r="G7" s="13"/>
      <c r="H7" s="13"/>
      <c r="I7" s="13"/>
      <c r="J7" s="13"/>
      <c r="K7" s="13"/>
    </row>
    <row r="8" spans="1:11" s="1" customFormat="1" x14ac:dyDescent="0.2"/>
    <row r="9" spans="1:11" ht="18" x14ac:dyDescent="0.2">
      <c r="A9" s="3" t="str">
        <f>VLOOKUP("&lt;Titel&gt;",Uebersetzungen!$B$3:$E$28,Uebersetzungen!$B$2+1,FALSE)</f>
        <v>Migrationsstatus nach Kanton</v>
      </c>
      <c r="B9" s="4"/>
      <c r="C9" s="5"/>
      <c r="D9" s="5"/>
      <c r="E9" s="5"/>
      <c r="F9" s="5"/>
      <c r="G9" s="5"/>
      <c r="H9" s="5"/>
      <c r="I9" s="5"/>
    </row>
    <row r="10" spans="1:11" x14ac:dyDescent="0.2">
      <c r="A10" s="7" t="str">
        <f>VLOOKUP("&lt;UTitel&gt;",Uebersetzungen!$B$3:$E$28,Uebersetzungen!$B$2+1,FALSE)</f>
        <v>Ständige schweizerische Wohnbevölkerung ab 15 Jahren</v>
      </c>
      <c r="B10" s="4"/>
      <c r="C10" s="5"/>
      <c r="D10" s="5"/>
      <c r="E10" s="5"/>
      <c r="F10" s="5"/>
      <c r="G10" s="5"/>
      <c r="H10" s="5"/>
      <c r="I10" s="5"/>
    </row>
    <row r="11" spans="1:11" ht="13.5" thickBot="1" x14ac:dyDescent="0.25">
      <c r="A11" s="7"/>
      <c r="B11" s="4"/>
      <c r="C11" s="5"/>
      <c r="D11" s="5"/>
      <c r="E11" s="5"/>
      <c r="F11" s="5"/>
      <c r="G11" s="5"/>
      <c r="H11" s="5"/>
      <c r="I11" s="5"/>
    </row>
    <row r="12" spans="1:11" ht="18.75" thickBot="1" x14ac:dyDescent="0.3">
      <c r="A12" s="8"/>
      <c r="B12" s="97">
        <v>2023</v>
      </c>
      <c r="C12" s="98"/>
      <c r="D12" s="98"/>
      <c r="E12" s="98"/>
      <c r="F12" s="98"/>
      <c r="G12" s="98"/>
      <c r="H12" s="98"/>
      <c r="I12" s="99"/>
    </row>
    <row r="13" spans="1:11" ht="37.5" customHeight="1" thickBot="1" x14ac:dyDescent="0.25">
      <c r="A13" s="91"/>
      <c r="B13" s="93" t="str">
        <f>VLOOKUP("&lt;SpaltenTitel_1&gt;",Uebersetzungen!$B$3:$E$325,Uebersetzungen!$B$2+1,FALSE)</f>
        <v>Total</v>
      </c>
      <c r="C13" s="94"/>
      <c r="D13" s="100" t="str">
        <f>VLOOKUP("&lt;SpaltenTitel_2&gt;",Uebersetzungen!$B$3:$E$325,Uebersetzungen!$B$2+1,FALSE)</f>
        <v>Personen ohne Migrationshintergrund</v>
      </c>
      <c r="E13" s="101"/>
      <c r="F13" s="94" t="str">
        <f>VLOOKUP("&lt;SpaltenTitel_3&gt;",Uebersetzungen!$B$3:$E$325,Uebersetzungen!$B$2+1,FALSE)</f>
        <v>Personen mit Migrationshintergrund</v>
      </c>
      <c r="G13" s="94"/>
      <c r="H13" s="94" t="str">
        <f>VLOOKUP("&lt;SpaltenTitel_4&gt;",Uebersetzungen!$B$3:$E$325,Uebersetzungen!$B$2+1,FALSE)</f>
        <v>Migrationshintergrund unbekannt</v>
      </c>
      <c r="I13" s="95"/>
    </row>
    <row r="14" spans="1:11" ht="39" thickBot="1" x14ac:dyDescent="0.25">
      <c r="A14" s="92"/>
      <c r="B14" s="49" t="str">
        <f>VLOOKUP("&lt;SpaltenTitel_1.1&gt;",Uebersetzungen!$B$3:$E$28,Uebersetzungen!$B$2+1,FALSE)</f>
        <v>Anzahl Personen</v>
      </c>
      <c r="C14" s="51" t="str">
        <f>VLOOKUP("&lt;SpaltenTitel_1.2&gt;",Uebersetzungen!$B$3:$E$28,Uebersetzungen!$B$2+1,FALSE)</f>
        <v>Vertrauens- intervall: ± (in %)</v>
      </c>
      <c r="D14" s="52" t="str">
        <f>VLOOKUP("&lt;SpaltenTitel_1.1&gt;",Uebersetzungen!$B$3:$E$28,Uebersetzungen!$B$2+1,FALSE)</f>
        <v>Anzahl Personen</v>
      </c>
      <c r="E14" s="51" t="str">
        <f>VLOOKUP("&lt;SpaltenTitel_1.2&gt;",Uebersetzungen!$B$3:$E$28,Uebersetzungen!$B$2+1,FALSE)</f>
        <v>Vertrauens- intervall: ± (in %)</v>
      </c>
      <c r="F14" s="52" t="str">
        <f>VLOOKUP("&lt;SpaltenTitel_1.1&gt;",Uebersetzungen!$B$3:$E$28,Uebersetzungen!$B$2+1,FALSE)</f>
        <v>Anzahl Personen</v>
      </c>
      <c r="G14" s="54" t="str">
        <f>VLOOKUP("&lt;SpaltenTitel_1.2&gt;",Uebersetzungen!$B$3:$E$28,Uebersetzungen!$B$2+1,FALSE)</f>
        <v>Vertrauens- intervall: ± (in %)</v>
      </c>
      <c r="H14" s="53" t="str">
        <f>VLOOKUP("&lt;SpaltenTitel_1.1&gt;",Uebersetzungen!$B$3:$E$28,Uebersetzungen!$B$2+1,FALSE)</f>
        <v>Anzahl Personen</v>
      </c>
      <c r="I14" s="50" t="str">
        <f>VLOOKUP("&lt;SpaltenTitel_1.2&gt;",Uebersetzungen!$B$3:$E$28,Uebersetzungen!$B$2+1,FALSE)</f>
        <v>Vertrauens- intervall: ± (in %)</v>
      </c>
    </row>
    <row r="15" spans="1:11" x14ac:dyDescent="0.2">
      <c r="A15" s="45" t="str">
        <f>VLOOKUP("&lt;Zeilentitel_1&gt;",Uebersetzungen!$B$3:$E$28,Uebersetzungen!$B$2+1,FALSE)</f>
        <v>Total</v>
      </c>
      <c r="B15" s="63">
        <v>7424121.9999999981</v>
      </c>
      <c r="C15" s="69">
        <v>5.4624157975364553E-2</v>
      </c>
      <c r="D15" s="70">
        <v>4280706.6403929796</v>
      </c>
      <c r="E15" s="64">
        <v>0.31089823143922252</v>
      </c>
      <c r="F15" s="70">
        <v>3099758.9879172891</v>
      </c>
      <c r="G15" s="69">
        <v>0.47165866495323394</v>
      </c>
      <c r="H15" s="75">
        <v>43656.37168972745</v>
      </c>
      <c r="I15" s="76">
        <v>5.1078778300648491</v>
      </c>
    </row>
    <row r="16" spans="1:11" x14ac:dyDescent="0.2">
      <c r="A16" s="46" t="str">
        <f>VLOOKUP("&lt;Zeilentitel_2&gt;",Uebersetzungen!$B$3:$E$28,Uebersetzungen!$B$2+1,FALSE)</f>
        <v>Zürich</v>
      </c>
      <c r="B16" s="65">
        <v>1333436.0000000016</v>
      </c>
      <c r="C16" s="71">
        <v>0.14275710992642143</v>
      </c>
      <c r="D16" s="72">
        <v>684523.13745586807</v>
      </c>
      <c r="E16" s="62">
        <v>0.94957252170802087</v>
      </c>
      <c r="F16" s="72">
        <v>640176.832173676</v>
      </c>
      <c r="G16" s="71">
        <v>1.1026902680248289</v>
      </c>
      <c r="H16" s="72">
        <v>8736.0303704579528</v>
      </c>
      <c r="I16" s="77">
        <v>12.599658570765461</v>
      </c>
    </row>
    <row r="17" spans="1:9" x14ac:dyDescent="0.2">
      <c r="A17" s="46" t="str">
        <f>VLOOKUP("&lt;Zeilentitel_3&gt;",Uebersetzungen!$B$3:$E$28,Uebersetzungen!$B$2+1,FALSE)</f>
        <v>Bern</v>
      </c>
      <c r="B17" s="66">
        <v>888558.00000001746</v>
      </c>
      <c r="C17" s="71">
        <v>0.14802321954754594</v>
      </c>
      <c r="D17" s="72">
        <v>639835.67784672207</v>
      </c>
      <c r="E17" s="62">
        <v>0.72858234310212722</v>
      </c>
      <c r="F17" s="72">
        <v>243457.05335940968</v>
      </c>
      <c r="G17" s="71">
        <v>2.0975338563683383</v>
      </c>
      <c r="H17" s="72">
        <v>5265.2687938857616</v>
      </c>
      <c r="I17" s="77">
        <v>15.829938484713836</v>
      </c>
    </row>
    <row r="18" spans="1:9" x14ac:dyDescent="0.2">
      <c r="A18" s="46" t="str">
        <f>VLOOKUP("&lt;Zeilentitel_4&gt;",Uebersetzungen!$B$3:$E$28,Uebersetzungen!$B$2+1,FALSE)</f>
        <v>Luzern</v>
      </c>
      <c r="B18" s="66">
        <v>358552.99999999884</v>
      </c>
      <c r="C18" s="71">
        <v>0.19826529697955966</v>
      </c>
      <c r="D18" s="72">
        <v>242632.38781430922</v>
      </c>
      <c r="E18" s="62">
        <v>0.89961590710057393</v>
      </c>
      <c r="F18" s="72">
        <v>114264.95392894754</v>
      </c>
      <c r="G18" s="71">
        <v>2.1339574252779068</v>
      </c>
      <c r="H18" s="72">
        <v>1655.6582567419396</v>
      </c>
      <c r="I18" s="77">
        <v>20.086895586032039</v>
      </c>
    </row>
    <row r="19" spans="1:9" x14ac:dyDescent="0.2">
      <c r="A19" s="46" t="str">
        <f>VLOOKUP("&lt;Zeilentitel_5&gt;",Uebersetzungen!$B$3:$E$28,Uebersetzungen!$B$2+1,FALSE)</f>
        <v>Uri</v>
      </c>
      <c r="B19" s="66">
        <v>31562.00000000008</v>
      </c>
      <c r="C19" s="71">
        <v>1.1178706080999679</v>
      </c>
      <c r="D19" s="72">
        <v>25151.990665643156</v>
      </c>
      <c r="E19" s="62">
        <v>3.1523062648767493</v>
      </c>
      <c r="F19" s="72">
        <v>6339.478673011753</v>
      </c>
      <c r="G19" s="71">
        <v>14.466627140292248</v>
      </c>
      <c r="H19" s="78" t="s">
        <v>279</v>
      </c>
      <c r="I19" s="77" t="s">
        <v>279</v>
      </c>
    </row>
    <row r="20" spans="1:9" x14ac:dyDescent="0.2">
      <c r="A20" s="46" t="str">
        <f>VLOOKUP("&lt;Zeilentitel_6&gt;",Uebersetzungen!$B$3:$E$28,Uebersetzungen!$B$2+1,FALSE)</f>
        <v>Schwyz</v>
      </c>
      <c r="B20" s="66">
        <v>140631.00000000035</v>
      </c>
      <c r="C20" s="71">
        <v>0.39258717642488244</v>
      </c>
      <c r="D20" s="72">
        <v>93034.097571376202</v>
      </c>
      <c r="E20" s="62">
        <v>2.1353124435502893</v>
      </c>
      <c r="F20" s="72">
        <v>46679.145106329313</v>
      </c>
      <c r="G20" s="71">
        <v>4.6250812945455229</v>
      </c>
      <c r="H20" s="79">
        <v>917.75732229482514</v>
      </c>
      <c r="I20" s="80">
        <v>37.865259087059435</v>
      </c>
    </row>
    <row r="21" spans="1:9" x14ac:dyDescent="0.2">
      <c r="A21" s="46" t="str">
        <f>VLOOKUP("&lt;Zeilentitel_7&gt;",Uebersetzungen!$B$3:$E$28,Uebersetzungen!$B$2+1,FALSE)</f>
        <v>Obwalden</v>
      </c>
      <c r="B21" s="66">
        <v>32753.0000000002</v>
      </c>
      <c r="C21" s="71">
        <v>0.85061838595663086</v>
      </c>
      <c r="D21" s="72">
        <v>25160.502720123273</v>
      </c>
      <c r="E21" s="62">
        <v>3.2456174326532672</v>
      </c>
      <c r="F21" s="72">
        <v>7411.9999807975428</v>
      </c>
      <c r="G21" s="71">
        <v>12.476030366027867</v>
      </c>
      <c r="H21" s="79">
        <v>180.49729907938476</v>
      </c>
      <c r="I21" s="80">
        <v>78.640337603162763</v>
      </c>
    </row>
    <row r="22" spans="1:9" x14ac:dyDescent="0.2">
      <c r="A22" s="46" t="str">
        <f>VLOOKUP("&lt;Zeilentitel_8&gt;",Uebersetzungen!$B$3:$E$28,Uebersetzungen!$B$2+1,FALSE)</f>
        <v>Nidwalden</v>
      </c>
      <c r="B22" s="66">
        <v>38257.999999999935</v>
      </c>
      <c r="C22" s="71">
        <v>0.9215346206747087</v>
      </c>
      <c r="D22" s="72">
        <v>28676.562119112248</v>
      </c>
      <c r="E22" s="62">
        <v>3.2214134022707501</v>
      </c>
      <c r="F22" s="72">
        <v>9381.7901380382373</v>
      </c>
      <c r="G22" s="71">
        <v>11.373556435587462</v>
      </c>
      <c r="H22" s="79">
        <v>199.64774284945639</v>
      </c>
      <c r="I22" s="80">
        <v>78.932869101888855</v>
      </c>
    </row>
    <row r="23" spans="1:9" x14ac:dyDescent="0.2">
      <c r="A23" s="46" t="str">
        <f>VLOOKUP("&lt;Zeilentitel_9&gt;",Uebersetzungen!$B$3:$E$28,Uebersetzungen!$B$2+1,FALSE)</f>
        <v>Glarus</v>
      </c>
      <c r="B23" s="66">
        <v>34959.999999999985</v>
      </c>
      <c r="C23" s="71">
        <v>1.0308871229781855</v>
      </c>
      <c r="D23" s="72">
        <v>22016.184614975715</v>
      </c>
      <c r="E23" s="62">
        <v>4.9218315614564982</v>
      </c>
      <c r="F23" s="72">
        <v>12727.968883779429</v>
      </c>
      <c r="G23" s="71">
        <v>8.7201081966094698</v>
      </c>
      <c r="H23" s="79">
        <v>215.84650124484796</v>
      </c>
      <c r="I23" s="80">
        <v>89.6895326012894</v>
      </c>
    </row>
    <row r="24" spans="1:9" x14ac:dyDescent="0.2">
      <c r="A24" s="46" t="str">
        <f>VLOOKUP("&lt;Zeilentitel_10&gt;",Uebersetzungen!$B$3:$E$28,Uebersetzungen!$B$2+1,FALSE)</f>
        <v>Zug</v>
      </c>
      <c r="B24" s="66">
        <v>110118.9999999984</v>
      </c>
      <c r="C24" s="71">
        <v>0.31952931198566387</v>
      </c>
      <c r="D24" s="72">
        <v>61510.942365174247</v>
      </c>
      <c r="E24" s="62">
        <v>2.0879704555799634</v>
      </c>
      <c r="F24" s="72">
        <v>48219.873818217027</v>
      </c>
      <c r="G24" s="71">
        <v>2.8935741310336862</v>
      </c>
      <c r="H24" s="79">
        <v>388.18381660704875</v>
      </c>
      <c r="I24" s="80">
        <v>39.679893801712964</v>
      </c>
    </row>
    <row r="25" spans="1:9" x14ac:dyDescent="0.2">
      <c r="A25" s="46" t="str">
        <f>VLOOKUP("&lt;Zeilentitel_11&gt;",Uebersetzungen!$B$3:$E$28,Uebersetzungen!$B$2+1,FALSE)</f>
        <v>Freiburg</v>
      </c>
      <c r="B25" s="66">
        <v>279035.99999999756</v>
      </c>
      <c r="C25" s="71">
        <v>0.30535297827098196</v>
      </c>
      <c r="D25" s="72">
        <v>183165.54350966579</v>
      </c>
      <c r="E25" s="62">
        <v>1.486992265314474</v>
      </c>
      <c r="F25" s="72">
        <v>94454.839486844357</v>
      </c>
      <c r="G25" s="71">
        <v>3.3090252255009509</v>
      </c>
      <c r="H25" s="81">
        <v>1415.6170034874469</v>
      </c>
      <c r="I25" s="80">
        <v>30.604332409286261</v>
      </c>
    </row>
    <row r="26" spans="1:9" x14ac:dyDescent="0.2">
      <c r="A26" s="46" t="str">
        <f>VLOOKUP("&lt;Zeilentitel_12&gt;",Uebersetzungen!$B$3:$E$28,Uebersetzungen!$B$2+1,FALSE)</f>
        <v>Solothurn</v>
      </c>
      <c r="B26" s="66">
        <v>240566.00000000399</v>
      </c>
      <c r="C26" s="71">
        <v>0.37068380482846408</v>
      </c>
      <c r="D26" s="72">
        <v>154161.90218252511</v>
      </c>
      <c r="E26" s="62">
        <v>1.6825756913584415</v>
      </c>
      <c r="F26" s="72">
        <v>84621.988146921271</v>
      </c>
      <c r="G26" s="71">
        <v>3.4518561377840369</v>
      </c>
      <c r="H26" s="81">
        <v>1782.1096705575219</v>
      </c>
      <c r="I26" s="80">
        <v>27.861673160866395</v>
      </c>
    </row>
    <row r="27" spans="1:9" x14ac:dyDescent="0.2">
      <c r="A27" s="46" t="str">
        <f>VLOOKUP("&lt;Zeilentitel_13&gt;",Uebersetzungen!$B$3:$E$28,Uebersetzungen!$B$2+1,FALSE)</f>
        <v>Basel-Stadt</v>
      </c>
      <c r="B27" s="66">
        <v>167633.00000000311</v>
      </c>
      <c r="C27" s="71">
        <v>0.45500815859592525</v>
      </c>
      <c r="D27" s="72">
        <v>71401.48534882332</v>
      </c>
      <c r="E27" s="62">
        <v>3.3198694310486769</v>
      </c>
      <c r="F27" s="72">
        <v>94922.184461376688</v>
      </c>
      <c r="G27" s="71">
        <v>2.6566505157452678</v>
      </c>
      <c r="H27" s="81">
        <v>1309.3301898031216</v>
      </c>
      <c r="I27" s="80">
        <v>33.974437911963065</v>
      </c>
    </row>
    <row r="28" spans="1:9" x14ac:dyDescent="0.2">
      <c r="A28" s="46" t="str">
        <f>VLOOKUP("&lt;Zeilentitel_14&gt;",Uebersetzungen!$B$3:$E$28,Uebersetzungen!$B$2+1,FALSE)</f>
        <v>Basel-Landschaft</v>
      </c>
      <c r="B28" s="66">
        <v>250951.00000000064</v>
      </c>
      <c r="C28" s="71">
        <v>0.34188826947043588</v>
      </c>
      <c r="D28" s="72">
        <v>149106.84868057046</v>
      </c>
      <c r="E28" s="62">
        <v>1.8333050621136933</v>
      </c>
      <c r="F28" s="72">
        <v>99801.221903208047</v>
      </c>
      <c r="G28" s="71">
        <v>3.0558899894852045</v>
      </c>
      <c r="H28" s="72">
        <v>2042.9294162221702</v>
      </c>
      <c r="I28" s="77">
        <v>25.522110191496541</v>
      </c>
    </row>
    <row r="29" spans="1:9" x14ac:dyDescent="0.2">
      <c r="A29" s="46" t="str">
        <f>VLOOKUP("&lt;Zeilentitel_15&gt;",Uebersetzungen!$B$3:$E$49,Uebersetzungen!$B$2+1,FALSE)</f>
        <v>Schaffhausen</v>
      </c>
      <c r="B29" s="66">
        <v>73073.000000000611</v>
      </c>
      <c r="C29" s="71">
        <v>0.78132191728741274</v>
      </c>
      <c r="D29" s="72">
        <v>39110.318813774611</v>
      </c>
      <c r="E29" s="62">
        <v>3.9394400000292435</v>
      </c>
      <c r="F29" s="72">
        <v>33269.803128070387</v>
      </c>
      <c r="G29" s="71">
        <v>5.1498779075880767</v>
      </c>
      <c r="H29" s="79">
        <v>692.87805815559227</v>
      </c>
      <c r="I29" s="80">
        <v>44.92654533812982</v>
      </c>
    </row>
    <row r="30" spans="1:9" ht="14.25" customHeight="1" x14ac:dyDescent="0.2">
      <c r="A30" s="46" t="str">
        <f>VLOOKUP("&lt;Zeilentitel_16&gt;",Uebersetzungen!$B$3:$E$49,Uebersetzungen!$B$2+1,FALSE)</f>
        <v>Appenzell Ausserrhoden</v>
      </c>
      <c r="B30" s="66">
        <v>46579.000000000269</v>
      </c>
      <c r="C30" s="71">
        <v>0.84673135077890826</v>
      </c>
      <c r="D30" s="72">
        <v>33203.728158784244</v>
      </c>
      <c r="E30" s="62">
        <v>3.2866531288907002</v>
      </c>
      <c r="F30" s="72">
        <v>13016.277814518311</v>
      </c>
      <c r="G30" s="71">
        <v>9.4875014140780483</v>
      </c>
      <c r="H30" s="79">
        <v>358.99402669771314</v>
      </c>
      <c r="I30" s="80">
        <v>61.522599454536568</v>
      </c>
    </row>
    <row r="31" spans="1:9" x14ac:dyDescent="0.2">
      <c r="A31" s="46" t="str">
        <f>VLOOKUP("&lt;Zeilentitel_17&gt;",Uebersetzungen!$B$3:$E$49,Uebersetzungen!$B$2+1,FALSE)</f>
        <v>Appenzell Innerrhoden</v>
      </c>
      <c r="B31" s="66">
        <v>13537.000000000056</v>
      </c>
      <c r="C31" s="71">
        <v>1.5664021983065015</v>
      </c>
      <c r="D31" s="72">
        <v>11258.08328694259</v>
      </c>
      <c r="E31" s="62">
        <v>4.8875026015345302</v>
      </c>
      <c r="F31" s="72">
        <v>2242.2376560692605</v>
      </c>
      <c r="G31" s="71">
        <v>23.64672218148328</v>
      </c>
      <c r="H31" s="78" t="s">
        <v>279</v>
      </c>
      <c r="I31" s="77" t="s">
        <v>279</v>
      </c>
    </row>
    <row r="32" spans="1:9" x14ac:dyDescent="0.2">
      <c r="A32" s="46" t="str">
        <f>VLOOKUP("&lt;Zeilentitel_18&gt;",Uebersetzungen!$B$3:$E$49,Uebersetzungen!$B$2+1,FALSE)</f>
        <v>St. Gallen</v>
      </c>
      <c r="B32" s="66">
        <v>444144.00000000664</v>
      </c>
      <c r="C32" s="71">
        <v>0.23622220314673145</v>
      </c>
      <c r="D32" s="72">
        <v>269794.2358533506</v>
      </c>
      <c r="E32" s="62">
        <v>1.360437913104823</v>
      </c>
      <c r="F32" s="72">
        <v>171831.18368902575</v>
      </c>
      <c r="G32" s="71">
        <v>2.3484344896505842</v>
      </c>
      <c r="H32" s="72">
        <v>2518.5804576300075</v>
      </c>
      <c r="I32" s="77">
        <v>23.178898611000793</v>
      </c>
    </row>
    <row r="33" spans="1:9" x14ac:dyDescent="0.2">
      <c r="A33" s="47" t="str">
        <f>VLOOKUP("&lt;Zeilentitel_19&gt;",Uebersetzungen!$B$3:$E$49,Uebersetzungen!$B$2+1,FALSE)</f>
        <v>Graubünden</v>
      </c>
      <c r="B33" s="84">
        <v>174610.9999999968</v>
      </c>
      <c r="C33" s="11">
        <v>0.33944767742203741</v>
      </c>
      <c r="D33" s="85">
        <v>121019.36719163421</v>
      </c>
      <c r="E33" s="86">
        <v>1.7900796018019085</v>
      </c>
      <c r="F33" s="85">
        <v>52459.243011685896</v>
      </c>
      <c r="G33" s="11">
        <v>4.3895578324545035</v>
      </c>
      <c r="H33" s="87">
        <v>1132.389796676722</v>
      </c>
      <c r="I33" s="88">
        <v>34.31028951458643</v>
      </c>
    </row>
    <row r="34" spans="1:9" x14ac:dyDescent="0.2">
      <c r="A34" s="46" t="str">
        <f>VLOOKUP("&lt;Zeilentitel_20&gt;",Uebersetzungen!$B$3:$E$49,Uebersetzungen!$B$2+1,FALSE)</f>
        <v>Aargau</v>
      </c>
      <c r="B34" s="66">
        <v>604896.99999998638</v>
      </c>
      <c r="C34" s="71">
        <v>0.14982201152284833</v>
      </c>
      <c r="D34" s="72">
        <v>352252.70310958609</v>
      </c>
      <c r="E34" s="62">
        <v>0.849783308938448</v>
      </c>
      <c r="F34" s="72">
        <v>249466.7876704325</v>
      </c>
      <c r="G34" s="71">
        <v>1.3291078621621102</v>
      </c>
      <c r="H34" s="72">
        <v>3177.5092199665573</v>
      </c>
      <c r="I34" s="77">
        <v>14.275331124687307</v>
      </c>
    </row>
    <row r="35" spans="1:9" x14ac:dyDescent="0.2">
      <c r="A35" s="46" t="str">
        <f>VLOOKUP("&lt;Zeilentitel_21&gt;",Uebersetzungen!$B$3:$E$49,Uebersetzungen!$B$2+1,FALSE)</f>
        <v>Thurgau</v>
      </c>
      <c r="B35" s="66">
        <v>245573.99999999779</v>
      </c>
      <c r="C35" s="71">
        <v>0.35006434836600719</v>
      </c>
      <c r="D35" s="72">
        <v>147754.39999614964</v>
      </c>
      <c r="E35" s="62">
        <v>1.8344018338358576</v>
      </c>
      <c r="F35" s="72">
        <v>96803.932298756583</v>
      </c>
      <c r="G35" s="71">
        <v>3.1606482150584436</v>
      </c>
      <c r="H35" s="81">
        <v>1015.6677050915598</v>
      </c>
      <c r="I35" s="80">
        <v>36.047589135975556</v>
      </c>
    </row>
    <row r="36" spans="1:9" x14ac:dyDescent="0.2">
      <c r="A36" s="46" t="str">
        <f>VLOOKUP("&lt;Zeilentitel_22&gt;",Uebersetzungen!$B$3:$E$49,Uebersetzungen!$B$2+1,FALSE)</f>
        <v>Tessin</v>
      </c>
      <c r="B36" s="66">
        <v>306302.0000000007</v>
      </c>
      <c r="C36" s="71">
        <v>0.20329241596104491</v>
      </c>
      <c r="D36" s="72">
        <v>148475.21583641009</v>
      </c>
      <c r="E36" s="62">
        <v>1.5086961005381856</v>
      </c>
      <c r="F36" s="72">
        <v>156112.30985229474</v>
      </c>
      <c r="G36" s="71">
        <v>1.4869941137125775</v>
      </c>
      <c r="H36" s="72">
        <v>1714.4743112953468</v>
      </c>
      <c r="I36" s="77">
        <v>20.165811018912585</v>
      </c>
    </row>
    <row r="37" spans="1:9" x14ac:dyDescent="0.2">
      <c r="A37" s="46" t="str">
        <f>VLOOKUP("&lt;Zeilentitel_23&gt;",Uebersetzungen!$B$3:$E$49,Uebersetzungen!$B$2+1,FALSE)</f>
        <v>Waadt</v>
      </c>
      <c r="B37" s="66">
        <v>690662.99999999383</v>
      </c>
      <c r="C37" s="71">
        <v>0.13789005411478147</v>
      </c>
      <c r="D37" s="72">
        <v>320694.49940326315</v>
      </c>
      <c r="E37" s="62">
        <v>1.0063333439707234</v>
      </c>
      <c r="F37" s="72">
        <v>366208.87923698191</v>
      </c>
      <c r="G37" s="71">
        <v>0.96669800735225342</v>
      </c>
      <c r="H37" s="72">
        <v>3759.6213597492442</v>
      </c>
      <c r="I37" s="77">
        <v>13.210198397097777</v>
      </c>
    </row>
    <row r="38" spans="1:9" x14ac:dyDescent="0.2">
      <c r="A38" s="46" t="str">
        <f>VLOOKUP("&lt;Zeilentitel_24&gt;",Uebersetzungen!$B$3:$E$49,Uebersetzungen!$B$2+1,FALSE)</f>
        <v>Wallis</v>
      </c>
      <c r="B38" s="66">
        <v>306633.99999999686</v>
      </c>
      <c r="C38" s="71">
        <v>0.29928814409268445</v>
      </c>
      <c r="D38" s="72">
        <v>194772.58892992217</v>
      </c>
      <c r="E38" s="62">
        <v>1.5199354097887219</v>
      </c>
      <c r="F38" s="72">
        <v>110665.37011507394</v>
      </c>
      <c r="G38" s="71">
        <v>2.9925106240822448</v>
      </c>
      <c r="H38" s="81">
        <v>1196.0409550007405</v>
      </c>
      <c r="I38" s="80">
        <v>33.938683731605735</v>
      </c>
    </row>
    <row r="39" spans="1:9" x14ac:dyDescent="0.2">
      <c r="A39" s="46" t="str">
        <f>VLOOKUP("&lt;Zeilentitel_25&gt;",Uebersetzungen!$B$3:$E$49,Uebersetzungen!$B$2+1,FALSE)</f>
        <v>Neuenburg</v>
      </c>
      <c r="B39" s="66">
        <v>148771.99999999959</v>
      </c>
      <c r="C39" s="71">
        <v>0.27454805374004498</v>
      </c>
      <c r="D39" s="72">
        <v>83468.603753403469</v>
      </c>
      <c r="E39" s="62">
        <v>1.8056418907989025</v>
      </c>
      <c r="F39" s="72">
        <v>64428.185132431019</v>
      </c>
      <c r="G39" s="71">
        <v>2.513006923292695</v>
      </c>
      <c r="H39" s="79">
        <v>875.21111416507335</v>
      </c>
      <c r="I39" s="80">
        <v>28.35365085426794</v>
      </c>
    </row>
    <row r="40" spans="1:9" x14ac:dyDescent="0.2">
      <c r="A40" s="46" t="str">
        <f>VLOOKUP("&lt;Zeilentitel_26&gt;",Uebersetzungen!$B$3:$E$49,Uebersetzungen!$B$2+1,FALSE)</f>
        <v>Genf</v>
      </c>
      <c r="B40" s="66">
        <v>400257.99999999651</v>
      </c>
      <c r="C40" s="71">
        <v>0.23720624115939218</v>
      </c>
      <c r="D40" s="72">
        <v>132899.19100148737</v>
      </c>
      <c r="E40" s="62">
        <v>1.8268932310587072</v>
      </c>
      <c r="F40" s="72">
        <v>264742.58740145934</v>
      </c>
      <c r="G40" s="71">
        <v>1.0284496043715259</v>
      </c>
      <c r="H40" s="72">
        <v>2616.2215970501129</v>
      </c>
      <c r="I40" s="77">
        <v>16.67617056811968</v>
      </c>
    </row>
    <row r="41" spans="1:9" ht="13.5" thickBot="1" x14ac:dyDescent="0.25">
      <c r="A41" s="48" t="str">
        <f>VLOOKUP("&lt;Zeilentitel_27&gt;",Uebersetzungen!$B$3:$E$49,Uebersetzungen!$B$2+1,FALSE)</f>
        <v>Jura</v>
      </c>
      <c r="B41" s="67">
        <v>62061.999999999651</v>
      </c>
      <c r="C41" s="73">
        <v>0.55587129579086347</v>
      </c>
      <c r="D41" s="74">
        <v>45626.442163382664</v>
      </c>
      <c r="E41" s="68">
        <v>2.6966581533650489</v>
      </c>
      <c r="F41" s="74">
        <v>16052.860849933058</v>
      </c>
      <c r="G41" s="73">
        <v>8.0131952628198402</v>
      </c>
      <c r="H41" s="82">
        <v>382.69698668392738</v>
      </c>
      <c r="I41" s="83">
        <v>58.509208635008768</v>
      </c>
    </row>
    <row r="43" spans="1:9" x14ac:dyDescent="0.2">
      <c r="A43" s="14" t="str">
        <f>VLOOKUP("&lt;Legende_1&gt;",Uebersetzungen!$B$3:$E$49,Uebersetzungen!$B$2+1,FALSE)</f>
        <v>(): Extrapolation aufgrund von 49 oder weniger Beobachtungen. Die Resultate sind mit grosser Vorsicht zu interpretieren.</v>
      </c>
    </row>
    <row r="44" spans="1:9" x14ac:dyDescent="0.2">
      <c r="A44" s="14" t="str">
        <f>VLOOKUP("&lt;Legende_2&gt;",Uebersetzungen!$B$3:$E$49,Uebersetzungen!$B$2+1,FALSE)</f>
        <v>X: Extrapolation aufgrund von 4 oder weniger Beobachtungen. Die Resultate werden aus Gründen des Datenschutzes nicht publiziert.</v>
      </c>
    </row>
    <row r="45" spans="1:9" x14ac:dyDescent="0.2">
      <c r="A45" s="14" t="str">
        <f>VLOOKUP("&lt;Legende_3&gt;",Uebersetzungen!$B$3:$E$49,Uebersetzungen!$B$2+1,FALSE)</f>
        <v>Die Grundgesamtheit der Strukturerhebung enthält alle Personen der ständigen Wohnbevölkerung ab vollendetem 15. Altersjahr, die in Privathaushalten leben.</v>
      </c>
    </row>
    <row r="46" spans="1:9" x14ac:dyDescent="0.2">
      <c r="A46" s="14" t="str">
        <f>VLOOKUP("&lt;Legende_4&gt;",Uebersetzungen!$B$3:$E$49,Uebersetzungen!$B$2+1,FALSE)</f>
        <v>Aus der Grundgesamtheit ausgeschlossen wurden neben den Personen, die in Kollektivhaushalten leben, auch Diplomaten, internationale Funktionäre und deren Angehörige.</v>
      </c>
    </row>
    <row r="47" spans="1:9" x14ac:dyDescent="0.2">
      <c r="A47" s="7"/>
    </row>
    <row r="48" spans="1:9" x14ac:dyDescent="0.2">
      <c r="A48" s="7" t="str">
        <f>VLOOKUP("&lt;Quelle_1&gt;",Uebersetzungen!$B$3:$E$49,Uebersetzungen!$B$2+1,FALSE)</f>
        <v>Quelle: BFS (Strukturerhebung)</v>
      </c>
    </row>
    <row r="49" spans="1:9" x14ac:dyDescent="0.2">
      <c r="A49" s="14" t="str">
        <f>VLOOKUP("&lt;Aktualisierung&gt;",Uebersetzungen!$B$3:$E$49,Uebersetzungen!$B$2+1,FALSE)</f>
        <v>Letztmals aktualisiert am: 09.10.2025</v>
      </c>
    </row>
    <row r="50" spans="1:9" x14ac:dyDescent="0.2">
      <c r="B50" s="9"/>
      <c r="H50" s="9"/>
    </row>
    <row r="52" spans="1:9" x14ac:dyDescent="0.2">
      <c r="B52" s="10"/>
      <c r="H52" s="10"/>
    </row>
    <row r="53" spans="1:9" x14ac:dyDescent="0.2">
      <c r="H53" s="9"/>
      <c r="I53" s="9"/>
    </row>
  </sheetData>
  <sheetProtection sheet="1" objects="1" scenarios="1"/>
  <mergeCells count="7">
    <mergeCell ref="A13:A14"/>
    <mergeCell ref="B13:C13"/>
    <mergeCell ref="F13:G13"/>
    <mergeCell ref="H13:I13"/>
    <mergeCell ref="A7:F7"/>
    <mergeCell ref="B12:I12"/>
    <mergeCell ref="D13:E13"/>
  </mergeCells>
  <pageMargins left="0.7" right="0.7" top="0.78740157499999996" bottom="0.78740157499999996" header="0.3" footer="0.3"/>
  <pageSetup paperSize="9" scale="5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5</xdr:col>
                    <xdr:colOff>666750</xdr:colOff>
                    <xdr:row>1</xdr:row>
                    <xdr:rowOff>114300</xdr:rowOff>
                  </from>
                  <to>
                    <xdr:col>7</xdr:col>
                    <xdr:colOff>19050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5</xdr:col>
                    <xdr:colOff>666750</xdr:colOff>
                    <xdr:row>2</xdr:row>
                    <xdr:rowOff>104775</xdr:rowOff>
                  </from>
                  <to>
                    <xdr:col>7</xdr:col>
                    <xdr:colOff>409575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5</xdr:col>
                    <xdr:colOff>666750</xdr:colOff>
                    <xdr:row>3</xdr:row>
                    <xdr:rowOff>66675</xdr:rowOff>
                  </from>
                  <to>
                    <xdr:col>7</xdr:col>
                    <xdr:colOff>19050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2"/>
  <sheetViews>
    <sheetView showGridLines="0" zoomScaleNormal="100" workbookViewId="0"/>
  </sheetViews>
  <sheetFormatPr baseColWidth="10" defaultRowHeight="12.75" x14ac:dyDescent="0.2"/>
  <cols>
    <col min="1" max="1" width="29.75" style="6" customWidth="1"/>
    <col min="2" max="2" width="26.75" style="6" customWidth="1"/>
    <col min="3" max="10" width="9.5" style="6" customWidth="1"/>
    <col min="11" max="16384" width="11" style="6"/>
  </cols>
  <sheetData>
    <row r="1" spans="1:11" s="1" customFormat="1" x14ac:dyDescent="0.2"/>
    <row r="2" spans="1:11" s="1" customFormat="1" ht="15.75" x14ac:dyDescent="0.25">
      <c r="B2" s="2"/>
      <c r="C2" s="12"/>
      <c r="D2" s="12"/>
      <c r="E2" s="12"/>
      <c r="F2" s="12"/>
    </row>
    <row r="3" spans="1:11" s="1" customFormat="1" ht="15.75" x14ac:dyDescent="0.25">
      <c r="B3" s="2"/>
      <c r="C3" s="12"/>
      <c r="D3" s="12"/>
      <c r="E3" s="12"/>
      <c r="F3" s="12"/>
    </row>
    <row r="4" spans="1:11" s="1" customFormat="1" ht="15.75" x14ac:dyDescent="0.25">
      <c r="B4" s="2"/>
      <c r="C4" s="12"/>
      <c r="D4" s="12"/>
      <c r="E4" s="12"/>
      <c r="F4" s="12"/>
    </row>
    <row r="5" spans="1:11" s="1" customFormat="1" x14ac:dyDescent="0.2"/>
    <row r="6" spans="1:11" s="1" customFormat="1" x14ac:dyDescent="0.2"/>
    <row r="7" spans="1:11" s="1" customFormat="1" ht="15.75" customHeight="1" x14ac:dyDescent="0.2">
      <c r="A7" s="96" t="str">
        <f>VLOOKUP("&lt;Fachbereich&gt;",Uebersetzungen!$B$3:$E$28,Uebersetzungen!$B$2+1,FALSE)</f>
        <v>Daten &amp; Statistik</v>
      </c>
      <c r="B7" s="96"/>
      <c r="C7" s="96"/>
      <c r="D7" s="96"/>
      <c r="E7" s="37"/>
      <c r="F7" s="37"/>
      <c r="G7" s="13"/>
      <c r="H7" s="13"/>
      <c r="I7" s="13"/>
      <c r="J7" s="13"/>
      <c r="K7" s="13"/>
    </row>
    <row r="8" spans="1:11" s="1" customFormat="1" x14ac:dyDescent="0.2"/>
    <row r="9" spans="1:11" ht="18" x14ac:dyDescent="0.2">
      <c r="A9" s="3" t="str">
        <f>VLOOKUP("&lt;T2Titel&gt;",Uebersetzungen!$B$3:$E$100,Uebersetzungen!$B$2+1,FALSE)</f>
        <v>Migrationsstatus Kanton Graubünden</v>
      </c>
      <c r="B9" s="4"/>
      <c r="C9" s="5"/>
      <c r="D9" s="5"/>
      <c r="E9" s="5"/>
      <c r="F9" s="5"/>
      <c r="G9" s="5"/>
      <c r="H9" s="5"/>
      <c r="I9" s="5"/>
      <c r="J9" s="5"/>
    </row>
    <row r="10" spans="1:11" x14ac:dyDescent="0.2">
      <c r="A10" s="7" t="str">
        <f>VLOOKUP("&lt;T2UTitel&gt;",Uebersetzungen!$B$3:$E$100,Uebersetzungen!$B$2+1,FALSE)</f>
        <v>Ständige schweizerische Wohnbevölkerung ab 15 Jahren</v>
      </c>
      <c r="B10" s="4"/>
      <c r="C10" s="5"/>
      <c r="D10" s="5"/>
      <c r="E10" s="5"/>
      <c r="F10" s="5"/>
      <c r="G10" s="5"/>
      <c r="H10" s="5"/>
      <c r="I10" s="5"/>
      <c r="J10" s="5"/>
    </row>
    <row r="11" spans="1:11" ht="13.5" thickBot="1" x14ac:dyDescent="0.25">
      <c r="A11" s="7"/>
      <c r="B11" s="4"/>
      <c r="C11" s="5"/>
      <c r="D11" s="5"/>
      <c r="E11" s="5"/>
      <c r="F11" s="5"/>
      <c r="G11" s="5"/>
      <c r="H11" s="5"/>
      <c r="I11" s="5"/>
      <c r="J11" s="5"/>
    </row>
    <row r="12" spans="1:11" ht="18" x14ac:dyDescent="0.25">
      <c r="A12" s="8"/>
      <c r="B12" s="8"/>
      <c r="C12" s="107">
        <v>2023</v>
      </c>
      <c r="D12" s="108"/>
      <c r="E12" s="108"/>
      <c r="F12" s="108"/>
      <c r="G12" s="108"/>
      <c r="H12" s="108"/>
      <c r="I12" s="108"/>
      <c r="J12" s="109"/>
    </row>
    <row r="13" spans="1:11" ht="37.5" customHeight="1" x14ac:dyDescent="0.2">
      <c r="B13" s="102"/>
      <c r="C13" s="104" t="str">
        <f>VLOOKUP("&lt;SpaltenTitel_1&gt;",Uebersetzungen!$B$3:$E$28,Uebersetzungen!$B$2+1,FALSE)</f>
        <v>Total</v>
      </c>
      <c r="D13" s="105"/>
      <c r="E13" s="105" t="str">
        <f>VLOOKUP("&lt;SpaltenTitel_2&gt;",Uebersetzungen!$B$3:$E$28,Uebersetzungen!$B$2+1,FALSE)</f>
        <v>Personen ohne Migrationshintergrund</v>
      </c>
      <c r="F13" s="105"/>
      <c r="G13" s="105" t="str">
        <f>VLOOKUP("&lt;SpaltenTitel_3&gt;",Uebersetzungen!$B$3:$E$28,Uebersetzungen!$B$2+1,FALSE)</f>
        <v>Personen mit Migrationshintergrund</v>
      </c>
      <c r="H13" s="105"/>
      <c r="I13" s="105" t="str">
        <f>VLOOKUP("&lt;SpaltenTitel_4&gt;",Uebersetzungen!$B$3:$E$28,Uebersetzungen!$B$2+1,FALSE)</f>
        <v>Migrationshintergrund unbekannt</v>
      </c>
      <c r="J13" s="106"/>
    </row>
    <row r="14" spans="1:11" ht="39" thickBot="1" x14ac:dyDescent="0.25">
      <c r="B14" s="103"/>
      <c r="C14" s="41" t="str">
        <f>VLOOKUP("&lt;SpaltenTitel_1.1&gt;",Uebersetzungen!$B$3:$E$28,Uebersetzungen!$B$2+1,FALSE)</f>
        <v>Anzahl Personen</v>
      </c>
      <c r="D14" s="42" t="str">
        <f>VLOOKUP("&lt;SpaltenTitel_1.2&gt;",Uebersetzungen!$B$3:$E$28,Uebersetzungen!$B$2+1,FALSE)</f>
        <v>Vertrauens- intervall: ± (in %)</v>
      </c>
      <c r="E14" s="40" t="str">
        <f>VLOOKUP("&lt;SpaltenTitel_1.1&gt;",Uebersetzungen!$B$3:$E$28,Uebersetzungen!$B$2+1,FALSE)</f>
        <v>Anzahl Personen</v>
      </c>
      <c r="F14" s="42" t="str">
        <f>VLOOKUP("&lt;SpaltenTitel_1.2&gt;",Uebersetzungen!$B$3:$E$28,Uebersetzungen!$B$2+1,FALSE)</f>
        <v>Vertrauens- intervall: ± (in %)</v>
      </c>
      <c r="G14" s="43" t="str">
        <f>VLOOKUP("&lt;SpaltenTitel_1.1&gt;",Uebersetzungen!$B$3:$E$28,Uebersetzungen!$B$2+1,FALSE)</f>
        <v>Anzahl Personen</v>
      </c>
      <c r="H14" s="42" t="str">
        <f>VLOOKUP("&lt;SpaltenTitel_1.2&gt;",Uebersetzungen!$B$3:$E$28,Uebersetzungen!$B$2+1,FALSE)</f>
        <v>Vertrauens- intervall: ± (in %)</v>
      </c>
      <c r="I14" s="39" t="str">
        <f>VLOOKUP("&lt;SpaltenTitel_1.1&gt;",Uebersetzungen!$B$3:$E$28,Uebersetzungen!$B$2+1,FALSE)</f>
        <v>Anzahl Personen</v>
      </c>
      <c r="J14" s="44" t="str">
        <f>VLOOKUP("&lt;SpaltenTitel_1.2&gt;",Uebersetzungen!$B$3:$E$28,Uebersetzungen!$B$2+1,FALSE)</f>
        <v>Vertrauens- intervall: ± (in %)</v>
      </c>
    </row>
    <row r="15" spans="1:11" ht="14.25" customHeight="1" x14ac:dyDescent="0.2">
      <c r="A15" s="30" t="str">
        <f>VLOOKUP("&lt;T2Zeilentitel_1&gt;",Uebersetzungen!$B$3:$E$92,Uebersetzungen!$B$2+1,FALSE)</f>
        <v>Total</v>
      </c>
      <c r="B15" s="55"/>
      <c r="C15" s="110">
        <v>174610.99999999735</v>
      </c>
      <c r="D15" s="114">
        <v>0.33944767742196968</v>
      </c>
      <c r="E15" s="115">
        <v>121019.36719163469</v>
      </c>
      <c r="F15" s="89">
        <v>1.7900796018018894</v>
      </c>
      <c r="G15" s="115">
        <v>52459.24301168591</v>
      </c>
      <c r="H15" s="114">
        <v>4.3895578324545026</v>
      </c>
      <c r="I15" s="124">
        <v>1132.389796676722</v>
      </c>
      <c r="J15" s="125">
        <v>34.31028951458643</v>
      </c>
    </row>
    <row r="16" spans="1:11" x14ac:dyDescent="0.2">
      <c r="A16" s="31" t="str">
        <f>VLOOKUP("&lt;T2Zeilentitel_2&gt;",Uebersetzungen!$B$3:$E$92,Uebersetzungen!$B$2+1,FALSE)</f>
        <v>Geschlecht</v>
      </c>
      <c r="B16" s="56" t="str">
        <f>VLOOKUP("&lt;T2Zeilentitel_2.1&gt;",Uebersetzungen!$B$3:$E$92,Uebersetzungen!$B$2+1,FALSE)</f>
        <v>Männer</v>
      </c>
      <c r="C16" s="111">
        <v>87537.999999998632</v>
      </c>
      <c r="D16" s="116">
        <v>2.8416627271316677</v>
      </c>
      <c r="E16" s="117">
        <v>60820.364606751558</v>
      </c>
      <c r="F16" s="60">
        <v>3.7691220493924913</v>
      </c>
      <c r="G16" s="117">
        <v>26136.02035653378</v>
      </c>
      <c r="H16" s="116">
        <v>6.9577770761276048</v>
      </c>
      <c r="I16" s="121">
        <v>581.61503671327955</v>
      </c>
      <c r="J16" s="126">
        <v>48.796363931763366</v>
      </c>
    </row>
    <row r="17" spans="1:10" x14ac:dyDescent="0.2">
      <c r="A17" s="32"/>
      <c r="B17" s="57" t="str">
        <f>VLOOKUP("&lt;T2Zeilentitel_2.2&gt;",Uebersetzungen!$B$3:$E$92,Uebersetzungen!$B$2+1,FALSE)</f>
        <v>Frauen</v>
      </c>
      <c r="C17" s="111">
        <v>87072.999999998719</v>
      </c>
      <c r="D17" s="116">
        <v>2.7106627575431745</v>
      </c>
      <c r="E17" s="117">
        <v>60199.002584883128</v>
      </c>
      <c r="F17" s="60">
        <v>3.6836834329305281</v>
      </c>
      <c r="G17" s="117">
        <v>26323.222655152131</v>
      </c>
      <c r="H17" s="116">
        <v>6.6076227265932976</v>
      </c>
      <c r="I17" s="121">
        <v>550.77475996344242</v>
      </c>
      <c r="J17" s="126">
        <v>48.339825186535791</v>
      </c>
    </row>
    <row r="18" spans="1:10" x14ac:dyDescent="0.2">
      <c r="A18" s="33" t="str">
        <f>VLOOKUP("&lt;T2Zeilentitel_3&gt;",Uebersetzungen!$B$3:$E$92,Uebersetzungen!$B$2+1,FALSE)</f>
        <v>Alter</v>
      </c>
      <c r="B18" s="26" t="str">
        <f>VLOOKUP("&lt;T2Zeilentitel_3.1&gt;",Uebersetzungen!$B$3:$E$92,Uebersetzungen!$B$2+1,FALSE)</f>
        <v>15-24</v>
      </c>
      <c r="C18" s="111">
        <v>18796.999999999985</v>
      </c>
      <c r="D18" s="116">
        <v>8.3769939210267985</v>
      </c>
      <c r="E18" s="117">
        <v>12983.184527608966</v>
      </c>
      <c r="F18" s="60">
        <v>10.030176330928089</v>
      </c>
      <c r="G18" s="117">
        <v>5606.8839071618922</v>
      </c>
      <c r="H18" s="116">
        <v>16.592268574285846</v>
      </c>
      <c r="I18" s="121">
        <v>206.9315652291279</v>
      </c>
      <c r="J18" s="126">
        <v>87.582805381204309</v>
      </c>
    </row>
    <row r="19" spans="1:10" x14ac:dyDescent="0.2">
      <c r="A19" s="34"/>
      <c r="B19" s="58">
        <f>VLOOKUP("&lt;T2Zeilentitel_3.2&gt;",Uebersetzungen!$B$3:$E$92,Uebersetzungen!$B$2+1,FALSE)</f>
        <v>25.44</v>
      </c>
      <c r="C19" s="111">
        <v>51462.999999998952</v>
      </c>
      <c r="D19" s="116">
        <v>4.4448967572292037</v>
      </c>
      <c r="E19" s="117">
        <v>33268.822232613529</v>
      </c>
      <c r="F19" s="60">
        <v>5.7633168024017536</v>
      </c>
      <c r="G19" s="117">
        <v>18056.033595231278</v>
      </c>
      <c r="H19" s="116">
        <v>8.6652633283848655</v>
      </c>
      <c r="I19" s="118" t="s">
        <v>279</v>
      </c>
      <c r="J19" s="127" t="s">
        <v>279</v>
      </c>
    </row>
    <row r="20" spans="1:10" x14ac:dyDescent="0.2">
      <c r="A20" s="35"/>
      <c r="B20" s="58" t="str">
        <f>VLOOKUP("&lt;T2Zeilentitel_3.3&gt;",Uebersetzungen!$B$3:$E$92,Uebersetzungen!$B$2+1,FALSE)</f>
        <v>15-64</v>
      </c>
      <c r="C20" s="111">
        <v>59159.999999999403</v>
      </c>
      <c r="D20" s="116">
        <v>3.7416967720996315</v>
      </c>
      <c r="E20" s="117">
        <v>38020.665057396662</v>
      </c>
      <c r="F20" s="60">
        <v>5.0296680682508716</v>
      </c>
      <c r="G20" s="117">
        <v>20863.306761320415</v>
      </c>
      <c r="H20" s="116">
        <v>7.4540389683737143</v>
      </c>
      <c r="I20" s="121">
        <v>276.02818128233412</v>
      </c>
      <c r="J20" s="126">
        <v>68.725926438170632</v>
      </c>
    </row>
    <row r="21" spans="1:10" x14ac:dyDescent="0.2">
      <c r="A21" s="35"/>
      <c r="B21" s="58" t="str">
        <f>VLOOKUP("&lt;T2Zeilentitel_3.4&gt;",Uebersetzungen!$B$3:$E$92,Uebersetzungen!$B$2+1,FALSE)</f>
        <v>65 und älter</v>
      </c>
      <c r="C21" s="111">
        <v>45190.999999998807</v>
      </c>
      <c r="D21" s="116">
        <v>4.5137334996911633</v>
      </c>
      <c r="E21" s="117">
        <v>36746.695374015362</v>
      </c>
      <c r="F21" s="60">
        <v>5.1466347466688038</v>
      </c>
      <c r="G21" s="117">
        <v>7933.0187479723327</v>
      </c>
      <c r="H21" s="116">
        <v>12.539700993949088</v>
      </c>
      <c r="I21" s="121">
        <v>511.28587801110911</v>
      </c>
      <c r="J21" s="126">
        <v>49.851489861092006</v>
      </c>
    </row>
    <row r="22" spans="1:10" x14ac:dyDescent="0.2">
      <c r="A22" s="31" t="str">
        <f>VLOOKUP("&lt;T2Zeilentitel_4&gt;",Uebersetzungen!$B$3:$E$92,Uebersetzungen!$B$2+1,FALSE)</f>
        <v>Staatsangehörigkeit</v>
      </c>
      <c r="B22" s="56" t="str">
        <f>VLOOKUP("&lt;T2Zeilentitel_4.1&gt;",Uebersetzungen!$B$3:$E$92,Uebersetzungen!$B$2+1,FALSE)</f>
        <v>Schweiz</v>
      </c>
      <c r="C22" s="111">
        <v>139295.99999999683</v>
      </c>
      <c r="D22" s="116">
        <v>1.3380059828042625</v>
      </c>
      <c r="E22" s="117">
        <v>120977.06466215999</v>
      </c>
      <c r="F22" s="60">
        <v>1.7908926997663919</v>
      </c>
      <c r="G22" s="117">
        <v>17229.463930897578</v>
      </c>
      <c r="H22" s="116">
        <v>8.1676596389216289</v>
      </c>
      <c r="I22" s="119">
        <v>1089.4714069392694</v>
      </c>
      <c r="J22" s="126">
        <v>34.848942724960565</v>
      </c>
    </row>
    <row r="23" spans="1:10" x14ac:dyDescent="0.2">
      <c r="A23" s="32"/>
      <c r="B23" s="58" t="str">
        <f>VLOOKUP("&lt;T2Zeilentitel_4.2&gt;",Uebersetzungen!$B$3:$E$92,Uebersetzungen!$B$2+1,FALSE)</f>
        <v>Ausland</v>
      </c>
      <c r="C23" s="111">
        <v>35314.999999999985</v>
      </c>
      <c r="D23" s="116">
        <v>5.8305326063159191</v>
      </c>
      <c r="E23" s="118" t="s">
        <v>279</v>
      </c>
      <c r="F23" s="60" t="s">
        <v>279</v>
      </c>
      <c r="G23" s="117">
        <v>35229.779080788263</v>
      </c>
      <c r="H23" s="116">
        <v>5.8383913494641879</v>
      </c>
      <c r="I23" s="118" t="s">
        <v>279</v>
      </c>
      <c r="J23" s="127" t="s">
        <v>279</v>
      </c>
    </row>
    <row r="24" spans="1:10" x14ac:dyDescent="0.2">
      <c r="A24" s="33" t="str">
        <f>VLOOKUP("&lt;T2Zeilentitel_5&gt;",Uebersetzungen!$B$3:$E$92,Uebersetzungen!$B$2+1,FALSE)</f>
        <v>Arbeitsmarktstatus</v>
      </c>
      <c r="B24" s="56" t="str">
        <f>VLOOKUP("&lt;T2Zeilentitel_5.1&gt;",Uebersetzungen!$B$3:$E$92,Uebersetzungen!$B$2+1,FALSE)</f>
        <v>Erwerbstätige</v>
      </c>
      <c r="C24" s="111">
        <v>106960.13753694606</v>
      </c>
      <c r="D24" s="116">
        <v>2.2331374480020272</v>
      </c>
      <c r="E24" s="117">
        <v>71531.746877433499</v>
      </c>
      <c r="F24" s="60">
        <v>3.2662319730938645</v>
      </c>
      <c r="G24" s="117">
        <v>35082.371373626054</v>
      </c>
      <c r="H24" s="116">
        <v>5.7096451979280198</v>
      </c>
      <c r="I24" s="121">
        <v>346.01928588647337</v>
      </c>
      <c r="J24" s="126">
        <v>61.381692226054518</v>
      </c>
    </row>
    <row r="25" spans="1:10" x14ac:dyDescent="0.2">
      <c r="A25" s="33"/>
      <c r="B25" s="58" t="str">
        <f>VLOOKUP("&lt;T2Zeilentitel_5.2&gt;",Uebersetzungen!$B$3:$E$92,Uebersetzungen!$B$2+1,FALSE)</f>
        <v>Erwerbslose</v>
      </c>
      <c r="C25" s="111">
        <v>2294.1767169753757</v>
      </c>
      <c r="D25" s="116">
        <v>25.854640307180468</v>
      </c>
      <c r="E25" s="119">
        <v>1087.5087739374158</v>
      </c>
      <c r="F25" s="61">
        <v>36.795651699994615</v>
      </c>
      <c r="G25" s="119">
        <v>1206.6679430379597</v>
      </c>
      <c r="H25" s="120">
        <v>36.470398275801493</v>
      </c>
      <c r="I25" s="128" t="s">
        <v>279</v>
      </c>
      <c r="J25" s="127" t="s">
        <v>279</v>
      </c>
    </row>
    <row r="26" spans="1:10" x14ac:dyDescent="0.2">
      <c r="A26" s="32"/>
      <c r="B26" s="58" t="str">
        <f>VLOOKUP("&lt;T2Zeilentitel_5.3&gt;",Uebersetzungen!$B$3:$E$92,Uebersetzungen!$B$2+1,FALSE)</f>
        <v>Nichterwerbspersonen</v>
      </c>
      <c r="C26" s="111">
        <v>65356.68574607592</v>
      </c>
      <c r="D26" s="116">
        <v>3.5383544715876645</v>
      </c>
      <c r="E26" s="117">
        <v>48400.11154026381</v>
      </c>
      <c r="F26" s="60">
        <v>4.3588592208330006</v>
      </c>
      <c r="G26" s="117">
        <v>16170.203695021864</v>
      </c>
      <c r="H26" s="116">
        <v>8.828763754011252</v>
      </c>
      <c r="I26" s="121">
        <v>786.37051079024877</v>
      </c>
      <c r="J26" s="126">
        <v>41.451071747695963</v>
      </c>
    </row>
    <row r="27" spans="1:10" x14ac:dyDescent="0.2">
      <c r="A27" s="33" t="str">
        <f>VLOOKUP("&lt;T2Zeilentitel_7&gt;",Uebersetzungen!$B$3:$E$92,Uebersetzungen!$B$2+1,FALSE)</f>
        <v>Sozioprofessionelle Kategorien</v>
      </c>
      <c r="B27" s="56" t="str">
        <f>VLOOKUP("&lt;T2Zeilentitel_7.1&gt;",Uebersetzungen!$B$3:$E$92,Uebersetzungen!$B$2+1,FALSE)</f>
        <v>Oberstes Management</v>
      </c>
      <c r="C27" s="111">
        <v>2692.4614986601082</v>
      </c>
      <c r="D27" s="116">
        <v>21.746551361625542</v>
      </c>
      <c r="E27" s="117">
        <v>1721.6796315794968</v>
      </c>
      <c r="F27" s="60">
        <v>26.724218942262887</v>
      </c>
      <c r="G27" s="121">
        <v>970.78186708061151</v>
      </c>
      <c r="H27" s="120">
        <v>37.65638802726</v>
      </c>
      <c r="I27" s="128" t="s">
        <v>279</v>
      </c>
      <c r="J27" s="127" t="s">
        <v>279</v>
      </c>
    </row>
    <row r="28" spans="1:10" x14ac:dyDescent="0.2">
      <c r="A28" s="34"/>
      <c r="B28" s="58" t="str">
        <f>VLOOKUP("&lt;T2Zeilentitel_7.2&gt;",Uebersetzungen!$B$3:$E$92,Uebersetzungen!$B$2+1,FALSE)</f>
        <v>Freie und gleichgestellte Berufe</v>
      </c>
      <c r="C28" s="111">
        <v>2805.8072395718659</v>
      </c>
      <c r="D28" s="116">
        <v>21.179835407272392</v>
      </c>
      <c r="E28" s="117">
        <v>1866.5041526964922</v>
      </c>
      <c r="F28" s="60">
        <v>26.027878413918131</v>
      </c>
      <c r="G28" s="121">
        <v>939.30308687537376</v>
      </c>
      <c r="H28" s="120">
        <v>36.842960236755452</v>
      </c>
      <c r="I28" s="128" t="s">
        <v>279</v>
      </c>
      <c r="J28" s="127" t="s">
        <v>279</v>
      </c>
    </row>
    <row r="29" spans="1:10" x14ac:dyDescent="0.2">
      <c r="A29" s="35"/>
      <c r="B29" s="58" t="str">
        <f>VLOOKUP("&lt;T2Zeilentitel_7.3&gt;",Uebersetzungen!$B$3:$E$92,Uebersetzungen!$B$2+1,FALSE)</f>
        <v>Andere Selbstständige</v>
      </c>
      <c r="C29" s="111">
        <v>12242.05386711834</v>
      </c>
      <c r="D29" s="116">
        <v>10.034434969579344</v>
      </c>
      <c r="E29" s="117">
        <v>9853.9007284732361</v>
      </c>
      <c r="F29" s="60">
        <v>11.208370577757689</v>
      </c>
      <c r="G29" s="117">
        <v>2308.1759401593931</v>
      </c>
      <c r="H29" s="116">
        <v>24.22498257738528</v>
      </c>
      <c r="I29" s="118" t="s">
        <v>279</v>
      </c>
      <c r="J29" s="127" t="s">
        <v>279</v>
      </c>
    </row>
    <row r="30" spans="1:10" ht="25.5" x14ac:dyDescent="0.2">
      <c r="A30" s="35"/>
      <c r="B30" s="58" t="str">
        <f>VLOOKUP("&lt;T2Zeilentitel_7.4&gt;",Uebersetzungen!$B$3:$E$92,Uebersetzungen!$B$2+1,FALSE)</f>
        <v>Akademische Berufe und oberes Kader</v>
      </c>
      <c r="C30" s="111">
        <v>16131.72446790972</v>
      </c>
      <c r="D30" s="116">
        <v>8.5165148068226504</v>
      </c>
      <c r="E30" s="117">
        <v>11772.922368353407</v>
      </c>
      <c r="F30" s="60">
        <v>10.070266152927589</v>
      </c>
      <c r="G30" s="117">
        <v>4358.8020995563156</v>
      </c>
      <c r="H30" s="116">
        <v>17.148784295794911</v>
      </c>
      <c r="I30" s="128" t="s">
        <v>279</v>
      </c>
      <c r="J30" s="127" t="s">
        <v>279</v>
      </c>
    </row>
    <row r="31" spans="1:10" x14ac:dyDescent="0.2">
      <c r="A31" s="35"/>
      <c r="B31" s="58" t="str">
        <f>VLOOKUP("&lt;T2Zeilentitel_7.5&gt;",Uebersetzungen!$B$3:$E$92,Uebersetzungen!$B$2+1,FALSE)</f>
        <v>Intermediäre Berufe</v>
      </c>
      <c r="C31" s="111">
        <v>32353.683494224046</v>
      </c>
      <c r="D31" s="116">
        <v>5.7730507066936676</v>
      </c>
      <c r="E31" s="117">
        <v>21225.906979784293</v>
      </c>
      <c r="F31" s="60">
        <v>7.2745481109279018</v>
      </c>
      <c r="G31" s="117">
        <v>11096.970914648209</v>
      </c>
      <c r="H31" s="116">
        <v>10.869591872003653</v>
      </c>
      <c r="I31" s="118" t="s">
        <v>279</v>
      </c>
      <c r="J31" s="127" t="s">
        <v>279</v>
      </c>
    </row>
    <row r="32" spans="1:10" x14ac:dyDescent="0.2">
      <c r="A32" s="35"/>
      <c r="B32" s="58" t="str">
        <f>VLOOKUP("&lt;T2Zeilentitel_7.6&gt;",Uebersetzungen!$B$3:$E$92,Uebersetzungen!$B$2+1,FALSE)</f>
        <v>Qualifizierte nichtmanuelle Berufe</v>
      </c>
      <c r="C32" s="111">
        <v>19713.229261553581</v>
      </c>
      <c r="D32" s="116">
        <v>7.7075461590373884</v>
      </c>
      <c r="E32" s="117">
        <v>14212.754493780694</v>
      </c>
      <c r="F32" s="60">
        <v>9.0991551996780249</v>
      </c>
      <c r="G32" s="117">
        <v>5334.1573511814631</v>
      </c>
      <c r="H32" s="116">
        <v>16.05829666180648</v>
      </c>
      <c r="I32" s="121">
        <v>166.31741659142403</v>
      </c>
      <c r="J32" s="126">
        <v>86.569797094434662</v>
      </c>
    </row>
    <row r="33" spans="1:10" x14ac:dyDescent="0.2">
      <c r="A33" s="35"/>
      <c r="B33" s="58" t="str">
        <f>VLOOKUP("&lt;T2Zeilentitel_7.7&gt;",Uebersetzungen!$B$3:$E$92,Uebersetzungen!$B$2+1,FALSE)</f>
        <v>Qualifizierte manuelle Berufe</v>
      </c>
      <c r="C33" s="111">
        <v>10072.445541539708</v>
      </c>
      <c r="D33" s="116">
        <v>11.593248132360143</v>
      </c>
      <c r="E33" s="117">
        <v>6639.3215153879783</v>
      </c>
      <c r="F33" s="60">
        <v>14.171925810776193</v>
      </c>
      <c r="G33" s="117">
        <v>3400.0806672464073</v>
      </c>
      <c r="H33" s="116">
        <v>20.971861021052206</v>
      </c>
      <c r="I33" s="118" t="s">
        <v>279</v>
      </c>
      <c r="J33" s="127" t="s">
        <v>279</v>
      </c>
    </row>
    <row r="34" spans="1:10" ht="25.5" x14ac:dyDescent="0.2">
      <c r="A34" s="35"/>
      <c r="B34" s="58" t="str">
        <f>VLOOKUP("&lt;T2Zeilentitel_7.8&gt;",Uebersetzungen!$B$3:$E$92,Uebersetzungen!$B$2+1,FALSE)</f>
        <v>Ungelernte Angestellte und Arbeiter</v>
      </c>
      <c r="C34" s="111">
        <v>6821.9592610729942</v>
      </c>
      <c r="D34" s="116">
        <v>14.07275784102953</v>
      </c>
      <c r="E34" s="119">
        <v>1518.4447274478616</v>
      </c>
      <c r="F34" s="61">
        <v>29.61841997036754</v>
      </c>
      <c r="G34" s="117">
        <v>5267.6388215126626</v>
      </c>
      <c r="H34" s="116">
        <v>16.185757696618225</v>
      </c>
      <c r="I34" s="118" t="s">
        <v>279</v>
      </c>
      <c r="J34" s="127" t="s">
        <v>279</v>
      </c>
    </row>
    <row r="35" spans="1:10" ht="25.5" customHeight="1" x14ac:dyDescent="0.2">
      <c r="A35" s="35"/>
      <c r="B35" s="58" t="str">
        <f>VLOOKUP("&lt;T2Zeilentitel_7.9&gt;",Uebersetzungen!$B$3:$E$92,Uebersetzungen!$B$2+1,FALSE)</f>
        <v>Lernende in dualer beruflicher Grundbildung (Lehrlinge)</v>
      </c>
      <c r="C35" s="111">
        <v>2736.1942365328932</v>
      </c>
      <c r="D35" s="116">
        <v>22.595748930549565</v>
      </c>
      <c r="E35" s="117">
        <v>1985.647780425367</v>
      </c>
      <c r="F35" s="60">
        <v>25.989129941260536</v>
      </c>
      <c r="G35" s="121">
        <v>750.54645610752641</v>
      </c>
      <c r="H35" s="120">
        <v>45.801112012504753</v>
      </c>
      <c r="I35" s="128" t="s">
        <v>279</v>
      </c>
      <c r="J35" s="127" t="s">
        <v>279</v>
      </c>
    </row>
    <row r="36" spans="1:10" ht="38.25" x14ac:dyDescent="0.2">
      <c r="A36" s="35"/>
      <c r="B36" s="58" t="str">
        <f>VLOOKUP("&lt;T2Zeilentitel_7.10&gt;",Uebersetzungen!$B$3:$E$92,Uebersetzungen!$B$2+1,FALSE)</f>
        <v>Nicht zuteilbare Erwerbstätige (fehlende oder unklare Basisdaten oder unplausible Kombination)</v>
      </c>
      <c r="C36" s="112">
        <v>1390.578668762628</v>
      </c>
      <c r="D36" s="120">
        <v>32.063765901593527</v>
      </c>
      <c r="E36" s="121">
        <v>734.66449950452807</v>
      </c>
      <c r="F36" s="61">
        <v>42.251671144934498</v>
      </c>
      <c r="G36" s="121">
        <v>655.91416925809995</v>
      </c>
      <c r="H36" s="120">
        <v>48.96990035538343</v>
      </c>
      <c r="I36" s="128" t="s">
        <v>279</v>
      </c>
      <c r="J36" s="127" t="s">
        <v>279</v>
      </c>
    </row>
    <row r="37" spans="1:10" ht="25.5" x14ac:dyDescent="0.2">
      <c r="A37" s="35"/>
      <c r="B37" s="58" t="str">
        <f>VLOOKUP("&lt;T2Zeilentitel_7.11&gt;",Uebersetzungen!$B$3:$E$92,Uebersetzungen!$B$2+1,FALSE)</f>
        <v>Erwerbslose und Nichterwerbspersonen</v>
      </c>
      <c r="C37" s="111">
        <v>67650.862463051308</v>
      </c>
      <c r="D37" s="116">
        <v>3.4588483113999717</v>
      </c>
      <c r="E37" s="117">
        <v>49487.620314201238</v>
      </c>
      <c r="F37" s="60">
        <v>4.3018549942194237</v>
      </c>
      <c r="G37" s="117">
        <v>17376.871638059823</v>
      </c>
      <c r="H37" s="116">
        <v>8.5407359868268085</v>
      </c>
      <c r="I37" s="121">
        <v>786.37051079024877</v>
      </c>
      <c r="J37" s="126">
        <v>41.451071747695963</v>
      </c>
    </row>
    <row r="38" spans="1:10" ht="12.75" customHeight="1" x14ac:dyDescent="0.2">
      <c r="A38" s="31" t="str">
        <f>VLOOKUP("&lt;T2Zeilentitel_8&gt;",Uebersetzungen!$B$3:$E$92,Uebersetzungen!$B$2+1,FALSE)</f>
        <v>Höchste abgeschlossene Ausbildung</v>
      </c>
      <c r="B38" s="56" t="str">
        <f>VLOOKUP("&lt;T2Zeilentitel_8.1&gt;",Uebersetzungen!$B$3:$E$92,Uebersetzungen!$B$2+1,FALSE)</f>
        <v>Ohne nachobligatorische Aubildung</v>
      </c>
      <c r="C38" s="111">
        <v>34830.749924816468</v>
      </c>
      <c r="D38" s="116">
        <v>5.6363231755720422</v>
      </c>
      <c r="E38" s="117">
        <v>16815.069596772424</v>
      </c>
      <c r="F38" s="60">
        <v>8.3861953008270085</v>
      </c>
      <c r="G38" s="117">
        <v>17663.016061639337</v>
      </c>
      <c r="H38" s="116">
        <v>8.5518109311492729</v>
      </c>
      <c r="I38" s="121">
        <v>352.66426640472753</v>
      </c>
      <c r="J38" s="126">
        <v>61.212654140503439</v>
      </c>
    </row>
    <row r="39" spans="1:10" x14ac:dyDescent="0.2">
      <c r="A39" s="35"/>
      <c r="B39" s="58" t="str">
        <f>VLOOKUP("&lt;T2Zeilentitel_8.2&gt;",Uebersetzungen!$B$3:$E$92,Uebersetzungen!$B$2+1,FALSE)</f>
        <v>Sekundarstufe II</v>
      </c>
      <c r="C39" s="111">
        <v>80390.820949427405</v>
      </c>
      <c r="D39" s="116">
        <v>3.0161514322530394</v>
      </c>
      <c r="E39" s="117">
        <v>60594.73526247713</v>
      </c>
      <c r="F39" s="60">
        <v>3.7459124445274838</v>
      </c>
      <c r="G39" s="117">
        <v>19132.886445982887</v>
      </c>
      <c r="H39" s="116">
        <v>8.1885874133388139</v>
      </c>
      <c r="I39" s="121">
        <v>663.19924096737668</v>
      </c>
      <c r="J39" s="126">
        <v>44.404761332763236</v>
      </c>
    </row>
    <row r="40" spans="1:10" ht="13.5" thickBot="1" x14ac:dyDescent="0.25">
      <c r="A40" s="36"/>
      <c r="B40" s="59" t="str">
        <f>VLOOKUP("&lt;T2Zeilentitel_8.3&gt;",Uebersetzungen!$B$3:$E$92,Uebersetzungen!$B$2+1,FALSE)</f>
        <v>Tertiärstufe</v>
      </c>
      <c r="C40" s="113">
        <v>59389.429125753428</v>
      </c>
      <c r="D40" s="122">
        <v>3.78376613223696</v>
      </c>
      <c r="E40" s="123">
        <v>43609.562332385132</v>
      </c>
      <c r="F40" s="90">
        <v>4.6598091626587026</v>
      </c>
      <c r="G40" s="123">
        <v>15663.340504063686</v>
      </c>
      <c r="H40" s="122">
        <v>8.8800974913773985</v>
      </c>
      <c r="I40" s="129" t="s">
        <v>279</v>
      </c>
      <c r="J40" s="130" t="s">
        <v>279</v>
      </c>
    </row>
    <row r="41" spans="1:10" x14ac:dyDescent="0.2">
      <c r="A41" s="26"/>
      <c r="B41" s="19"/>
      <c r="C41" s="27"/>
      <c r="D41" s="28"/>
      <c r="E41" s="28"/>
      <c r="F41" s="28"/>
      <c r="G41" s="27"/>
      <c r="H41" s="28"/>
      <c r="I41" s="29"/>
      <c r="J41" s="28"/>
    </row>
    <row r="42" spans="1:10" x14ac:dyDescent="0.2">
      <c r="A42" s="14" t="str">
        <f>VLOOKUP("&lt;Legende_1&gt;",Uebersetzungen!$B$3:$E$49,Uebersetzungen!$B$2+1,FALSE)</f>
        <v>(): Extrapolation aufgrund von 49 oder weniger Beobachtungen. Die Resultate sind mit grosser Vorsicht zu interpretieren.</v>
      </c>
    </row>
    <row r="43" spans="1:10" x14ac:dyDescent="0.2">
      <c r="A43" s="14" t="str">
        <f>VLOOKUP("&lt;Legende_2&gt;",Uebersetzungen!$B$3:$E$49,Uebersetzungen!$B$2+1,FALSE)</f>
        <v>X: Extrapolation aufgrund von 4 oder weniger Beobachtungen. Die Resultate werden aus Gründen des Datenschutzes nicht publiziert.</v>
      </c>
    </row>
    <row r="44" spans="1:10" x14ac:dyDescent="0.2">
      <c r="A44" s="14" t="str">
        <f>VLOOKUP("&lt;Legende_3&gt;",Uebersetzungen!$B$3:$E$49,Uebersetzungen!$B$2+1,FALSE)</f>
        <v>Die Grundgesamtheit der Strukturerhebung enthält alle Personen der ständigen Wohnbevölkerung ab vollendetem 15. Altersjahr, die in Privathaushalten leben.</v>
      </c>
    </row>
    <row r="45" spans="1:10" x14ac:dyDescent="0.2">
      <c r="A45" s="14" t="str">
        <f>VLOOKUP("&lt;Legende_4&gt;",Uebersetzungen!$B$3:$E$49,Uebersetzungen!$B$2+1,FALSE)</f>
        <v>Aus der Grundgesamtheit ausgeschlossen wurden neben den Personen, die in Kollektivhaushalten leben, auch Diplomaten, internationale Funktionäre und deren Angehörige.</v>
      </c>
    </row>
    <row r="46" spans="1:10" x14ac:dyDescent="0.2">
      <c r="A46" s="7"/>
    </row>
    <row r="47" spans="1:10" x14ac:dyDescent="0.2">
      <c r="A47" s="7" t="str">
        <f>VLOOKUP("&lt;Quelle_1&gt;",Uebersetzungen!$B$3:$E$92,Uebersetzungen!$B$2+1,FALSE)</f>
        <v>Quelle: BFS (Strukturerhebung)</v>
      </c>
    </row>
    <row r="48" spans="1:10" x14ac:dyDescent="0.2">
      <c r="A48" s="6" t="str">
        <f>VLOOKUP("&lt;T2Aktualisierung&gt;",Uebersetzungen!$B$3:$E$92,Uebersetzungen!$B$2+1,FALSE)</f>
        <v>Letztmals aktualisiert am: 09.10.2025</v>
      </c>
    </row>
    <row r="49" spans="2:10" x14ac:dyDescent="0.2">
      <c r="B49" s="9"/>
      <c r="H49" s="9"/>
    </row>
    <row r="51" spans="2:10" x14ac:dyDescent="0.2">
      <c r="B51" s="10"/>
      <c r="H51" s="10"/>
    </row>
    <row r="52" spans="2:10" x14ac:dyDescent="0.2">
      <c r="H52" s="9"/>
      <c r="I52" s="9"/>
      <c r="J52" s="9"/>
    </row>
  </sheetData>
  <sheetProtection sheet="1" objects="1" scenarios="1"/>
  <mergeCells count="7">
    <mergeCell ref="A7:D7"/>
    <mergeCell ref="B13:B14"/>
    <mergeCell ref="C13:D13"/>
    <mergeCell ref="G13:H13"/>
    <mergeCell ref="I13:J13"/>
    <mergeCell ref="C12:J12"/>
    <mergeCell ref="E13:F13"/>
  </mergeCells>
  <pageMargins left="0.7" right="0.7" top="0.78740157499999996" bottom="0.78740157499999996" header="0.3" footer="0.3"/>
  <pageSetup paperSize="9" scale="56" orientation="portrait" horizontalDpi="90" verticalDpi="9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3</xdr:col>
                    <xdr:colOff>685800</xdr:colOff>
                    <xdr:row>1</xdr:row>
                    <xdr:rowOff>123825</xdr:rowOff>
                  </from>
                  <to>
                    <xdr:col>5</xdr:col>
                    <xdr:colOff>381000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3</xdr:col>
                    <xdr:colOff>685800</xdr:colOff>
                    <xdr:row>2</xdr:row>
                    <xdr:rowOff>114300</xdr:rowOff>
                  </from>
                  <to>
                    <xdr:col>6</xdr:col>
                    <xdr:colOff>47625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3</xdr:col>
                    <xdr:colOff>685800</xdr:colOff>
                    <xdr:row>3</xdr:row>
                    <xdr:rowOff>76200</xdr:rowOff>
                  </from>
                  <to>
                    <xdr:col>5</xdr:col>
                    <xdr:colOff>381000</xdr:colOff>
                    <xdr:row>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1"/>
  <sheetViews>
    <sheetView workbookViewId="0">
      <selection activeCell="H90" sqref="H90"/>
    </sheetView>
  </sheetViews>
  <sheetFormatPr baseColWidth="10" defaultColWidth="11" defaultRowHeight="12.75" x14ac:dyDescent="0.2"/>
  <cols>
    <col min="1" max="1" width="7.5" style="21" bestFit="1" customWidth="1"/>
    <col min="2" max="2" width="15.5" style="21" bestFit="1" customWidth="1"/>
    <col min="3" max="3" width="40.875" style="21" bestFit="1" customWidth="1"/>
    <col min="4" max="4" width="41.625" style="21" bestFit="1" customWidth="1"/>
    <col min="5" max="5" width="41.125" style="21" bestFit="1" customWidth="1"/>
    <col min="6" max="16384" width="11" style="21"/>
  </cols>
  <sheetData>
    <row r="1" spans="1:6" x14ac:dyDescent="0.2">
      <c r="A1" s="15" t="s">
        <v>57</v>
      </c>
      <c r="B1" s="15" t="s">
        <v>58</v>
      </c>
      <c r="C1" s="15" t="s">
        <v>59</v>
      </c>
      <c r="D1" s="15" t="s">
        <v>60</v>
      </c>
      <c r="E1" s="15" t="s">
        <v>61</v>
      </c>
      <c r="F1" s="16"/>
    </row>
    <row r="2" spans="1:6" x14ac:dyDescent="0.2">
      <c r="A2" s="22" t="s">
        <v>62</v>
      </c>
      <c r="B2" s="23">
        <v>1</v>
      </c>
      <c r="C2" s="16"/>
      <c r="D2" s="16"/>
      <c r="E2" s="16"/>
      <c r="F2" s="16"/>
    </row>
    <row r="3" spans="1:6" x14ac:dyDescent="0.2">
      <c r="A3" s="22"/>
      <c r="B3" s="21" t="s">
        <v>64</v>
      </c>
      <c r="C3" s="17" t="s">
        <v>65</v>
      </c>
      <c r="D3" s="17" t="s">
        <v>66</v>
      </c>
      <c r="E3" s="17" t="s">
        <v>67</v>
      </c>
      <c r="F3" s="16"/>
    </row>
    <row r="4" spans="1:6" x14ac:dyDescent="0.2">
      <c r="A4" s="22" t="s">
        <v>63</v>
      </c>
      <c r="B4" s="18" t="s">
        <v>68</v>
      </c>
      <c r="C4" s="18" t="s">
        <v>244</v>
      </c>
      <c r="D4" s="18" t="s">
        <v>251</v>
      </c>
      <c r="E4" s="18" t="s">
        <v>252</v>
      </c>
      <c r="F4" s="16"/>
    </row>
    <row r="5" spans="1:6" ht="25.5" x14ac:dyDescent="0.2">
      <c r="A5" s="22"/>
      <c r="B5" s="21" t="s">
        <v>85</v>
      </c>
      <c r="C5" s="17" t="s">
        <v>47</v>
      </c>
      <c r="D5" s="17" t="s">
        <v>220</v>
      </c>
      <c r="E5" s="17" t="s">
        <v>173</v>
      </c>
      <c r="F5" s="16"/>
    </row>
    <row r="6" spans="1:6" x14ac:dyDescent="0.2">
      <c r="A6" s="22"/>
      <c r="B6" s="22"/>
      <c r="C6" s="22"/>
      <c r="D6" s="22"/>
      <c r="E6" s="22"/>
      <c r="F6" s="16"/>
    </row>
    <row r="7" spans="1:6" ht="14.25" customHeight="1" x14ac:dyDescent="0.2">
      <c r="A7" s="22" t="s">
        <v>106</v>
      </c>
      <c r="B7" s="21" t="s">
        <v>69</v>
      </c>
      <c r="C7" s="17" t="s">
        <v>0</v>
      </c>
      <c r="D7" s="17" t="s">
        <v>0</v>
      </c>
      <c r="E7" s="17" t="s">
        <v>145</v>
      </c>
      <c r="F7" s="16"/>
    </row>
    <row r="8" spans="1:6" x14ac:dyDescent="0.2">
      <c r="A8" s="22"/>
      <c r="B8" s="21" t="s">
        <v>70</v>
      </c>
      <c r="C8" s="17" t="s">
        <v>241</v>
      </c>
      <c r="D8" s="17" t="s">
        <v>245</v>
      </c>
      <c r="E8" s="17" t="s">
        <v>247</v>
      </c>
      <c r="F8" s="16"/>
    </row>
    <row r="9" spans="1:6" x14ac:dyDescent="0.2">
      <c r="A9" s="22"/>
      <c r="B9" s="21" t="s">
        <v>71</v>
      </c>
      <c r="C9" s="17" t="s">
        <v>242</v>
      </c>
      <c r="D9" s="17" t="s">
        <v>246</v>
      </c>
      <c r="E9" s="17" t="s">
        <v>248</v>
      </c>
      <c r="F9" s="16"/>
    </row>
    <row r="10" spans="1:6" x14ac:dyDescent="0.2">
      <c r="A10" s="22"/>
      <c r="B10" s="21" t="s">
        <v>240</v>
      </c>
      <c r="C10" s="17" t="s">
        <v>243</v>
      </c>
      <c r="D10" s="17" t="s">
        <v>249</v>
      </c>
      <c r="E10" s="17" t="s">
        <v>250</v>
      </c>
      <c r="F10" s="16"/>
    </row>
    <row r="11" spans="1:6" x14ac:dyDescent="0.2">
      <c r="A11" s="22"/>
      <c r="B11" s="22"/>
      <c r="C11" s="22"/>
      <c r="D11" s="22"/>
      <c r="E11" s="22"/>
      <c r="F11" s="22"/>
    </row>
    <row r="12" spans="1:6" x14ac:dyDescent="0.2">
      <c r="A12" s="22"/>
      <c r="B12" s="21" t="s">
        <v>117</v>
      </c>
      <c r="C12" s="17" t="s">
        <v>1</v>
      </c>
      <c r="D12" s="17" t="s">
        <v>238</v>
      </c>
      <c r="E12" s="17" t="s">
        <v>146</v>
      </c>
      <c r="F12" s="16"/>
    </row>
    <row r="13" spans="1:6" x14ac:dyDescent="0.2">
      <c r="A13" s="22"/>
      <c r="B13" s="21" t="s">
        <v>118</v>
      </c>
      <c r="C13" s="17" t="s">
        <v>236</v>
      </c>
      <c r="D13" s="17" t="s">
        <v>237</v>
      </c>
      <c r="E13" s="17" t="s">
        <v>195</v>
      </c>
      <c r="F13" s="16"/>
    </row>
    <row r="14" spans="1:6" x14ac:dyDescent="0.2">
      <c r="A14" s="22"/>
      <c r="B14" s="16"/>
      <c r="C14" s="16"/>
      <c r="D14" s="16"/>
      <c r="E14" s="16"/>
      <c r="F14" s="16"/>
    </row>
    <row r="15" spans="1:6" x14ac:dyDescent="0.2">
      <c r="A15" s="22" t="s">
        <v>63</v>
      </c>
      <c r="B15" s="21" t="s">
        <v>72</v>
      </c>
      <c r="C15" s="17" t="s">
        <v>0</v>
      </c>
      <c r="D15" s="17" t="s">
        <v>0</v>
      </c>
      <c r="E15" s="17" t="s">
        <v>145</v>
      </c>
      <c r="F15" s="16"/>
    </row>
    <row r="16" spans="1:6" x14ac:dyDescent="0.2">
      <c r="A16" s="16"/>
      <c r="B16" s="21" t="s">
        <v>73</v>
      </c>
      <c r="C16" s="17" t="s">
        <v>2</v>
      </c>
      <c r="D16" s="17" t="s">
        <v>203</v>
      </c>
      <c r="E16" s="17" t="s">
        <v>148</v>
      </c>
      <c r="F16" s="16"/>
    </row>
    <row r="17" spans="1:6" x14ac:dyDescent="0.2">
      <c r="A17" s="16"/>
      <c r="B17" s="21" t="s">
        <v>74</v>
      </c>
      <c r="C17" s="17" t="s">
        <v>49</v>
      </c>
      <c r="D17" s="17" t="s">
        <v>149</v>
      </c>
      <c r="E17" s="17" t="s">
        <v>149</v>
      </c>
      <c r="F17" s="16"/>
    </row>
    <row r="18" spans="1:6" x14ac:dyDescent="0.2">
      <c r="A18" s="16"/>
      <c r="B18" s="21" t="s">
        <v>75</v>
      </c>
      <c r="C18" s="17" t="s">
        <v>3</v>
      </c>
      <c r="D18" s="17" t="s">
        <v>150</v>
      </c>
      <c r="E18" s="17" t="s">
        <v>150</v>
      </c>
      <c r="F18" s="16"/>
    </row>
    <row r="19" spans="1:6" x14ac:dyDescent="0.2">
      <c r="A19" s="16"/>
      <c r="B19" s="21" t="s">
        <v>76</v>
      </c>
      <c r="C19" s="17" t="s">
        <v>4</v>
      </c>
      <c r="D19" s="17" t="s">
        <v>4</v>
      </c>
      <c r="E19" s="17" t="s">
        <v>4</v>
      </c>
      <c r="F19" s="16"/>
    </row>
    <row r="20" spans="1:6" x14ac:dyDescent="0.2">
      <c r="A20" s="16"/>
      <c r="B20" s="21" t="s">
        <v>77</v>
      </c>
      <c r="C20" s="17" t="s">
        <v>5</v>
      </c>
      <c r="D20" s="17" t="s">
        <v>196</v>
      </c>
      <c r="E20" s="17" t="s">
        <v>151</v>
      </c>
      <c r="F20" s="16"/>
    </row>
    <row r="21" spans="1:6" x14ac:dyDescent="0.2">
      <c r="A21" s="16"/>
      <c r="B21" s="21" t="s">
        <v>78</v>
      </c>
      <c r="C21" s="17" t="s">
        <v>6</v>
      </c>
      <c r="D21" s="17" t="s">
        <v>202</v>
      </c>
      <c r="E21" s="17" t="s">
        <v>152</v>
      </c>
      <c r="F21" s="16"/>
    </row>
    <row r="22" spans="1:6" x14ac:dyDescent="0.2">
      <c r="A22" s="16"/>
      <c r="B22" s="21" t="s">
        <v>79</v>
      </c>
      <c r="C22" s="17" t="s">
        <v>7</v>
      </c>
      <c r="D22" s="17" t="s">
        <v>201</v>
      </c>
      <c r="E22" s="17" t="s">
        <v>153</v>
      </c>
      <c r="F22" s="16"/>
    </row>
    <row r="23" spans="1:6" x14ac:dyDescent="0.2">
      <c r="A23" s="16"/>
      <c r="B23" s="21" t="s">
        <v>86</v>
      </c>
      <c r="C23" s="17" t="s">
        <v>8</v>
      </c>
      <c r="D23" s="17" t="s">
        <v>199</v>
      </c>
      <c r="E23" s="17" t="s">
        <v>154</v>
      </c>
      <c r="F23" s="16"/>
    </row>
    <row r="24" spans="1:6" x14ac:dyDescent="0.2">
      <c r="A24" s="16"/>
      <c r="B24" s="21" t="s">
        <v>87</v>
      </c>
      <c r="C24" s="17" t="s">
        <v>9</v>
      </c>
      <c r="D24" s="17" t="s">
        <v>9</v>
      </c>
      <c r="E24" s="17" t="s">
        <v>155</v>
      </c>
      <c r="F24" s="16"/>
    </row>
    <row r="25" spans="1:6" x14ac:dyDescent="0.2">
      <c r="A25" s="16"/>
      <c r="B25" s="21" t="s">
        <v>88</v>
      </c>
      <c r="C25" s="17" t="s">
        <v>50</v>
      </c>
      <c r="D25" s="17" t="s">
        <v>198</v>
      </c>
      <c r="E25" s="17" t="s">
        <v>156</v>
      </c>
      <c r="F25" s="16"/>
    </row>
    <row r="26" spans="1:6" x14ac:dyDescent="0.2">
      <c r="A26" s="16"/>
      <c r="B26" s="21" t="s">
        <v>89</v>
      </c>
      <c r="C26" s="17" t="s">
        <v>10</v>
      </c>
      <c r="D26" s="17" t="s">
        <v>197</v>
      </c>
      <c r="E26" s="17" t="s">
        <v>157</v>
      </c>
      <c r="F26" s="16"/>
    </row>
    <row r="27" spans="1:6" x14ac:dyDescent="0.2">
      <c r="A27" s="16"/>
      <c r="B27" s="21" t="s">
        <v>90</v>
      </c>
      <c r="C27" s="17" t="s">
        <v>11</v>
      </c>
      <c r="D27" s="17" t="s">
        <v>204</v>
      </c>
      <c r="E27" s="17" t="s">
        <v>158</v>
      </c>
      <c r="F27" s="16"/>
    </row>
    <row r="28" spans="1:6" x14ac:dyDescent="0.2">
      <c r="A28" s="16"/>
      <c r="B28" s="21" t="s">
        <v>91</v>
      </c>
      <c r="C28" s="17" t="s">
        <v>12</v>
      </c>
      <c r="D28" s="17" t="s">
        <v>205</v>
      </c>
      <c r="E28" s="17" t="s">
        <v>159</v>
      </c>
      <c r="F28" s="16"/>
    </row>
    <row r="29" spans="1:6" x14ac:dyDescent="0.2">
      <c r="A29" s="16"/>
      <c r="B29" s="21" t="s">
        <v>92</v>
      </c>
      <c r="C29" s="17" t="s">
        <v>13</v>
      </c>
      <c r="D29" s="17" t="s">
        <v>200</v>
      </c>
      <c r="E29" s="17" t="s">
        <v>160</v>
      </c>
      <c r="F29" s="16"/>
    </row>
    <row r="30" spans="1:6" x14ac:dyDescent="0.2">
      <c r="A30" s="16"/>
      <c r="B30" s="21" t="s">
        <v>93</v>
      </c>
      <c r="C30" s="17" t="s">
        <v>14</v>
      </c>
      <c r="D30" s="17" t="s">
        <v>206</v>
      </c>
      <c r="E30" s="17" t="s">
        <v>161</v>
      </c>
      <c r="F30" s="16"/>
    </row>
    <row r="31" spans="1:6" x14ac:dyDescent="0.2">
      <c r="A31" s="16"/>
      <c r="B31" s="21" t="s">
        <v>94</v>
      </c>
      <c r="C31" s="17" t="s">
        <v>15</v>
      </c>
      <c r="D31" s="17" t="s">
        <v>207</v>
      </c>
      <c r="E31" s="17" t="s">
        <v>162</v>
      </c>
      <c r="F31" s="16"/>
    </row>
    <row r="32" spans="1:6" x14ac:dyDescent="0.2">
      <c r="A32" s="16"/>
      <c r="B32" s="21" t="s">
        <v>95</v>
      </c>
      <c r="C32" s="17" t="s">
        <v>16</v>
      </c>
      <c r="D32" s="17" t="s">
        <v>208</v>
      </c>
      <c r="E32" s="17" t="s">
        <v>163</v>
      </c>
      <c r="F32" s="16"/>
    </row>
    <row r="33" spans="1:6" x14ac:dyDescent="0.2">
      <c r="A33" s="16"/>
      <c r="B33" s="21" t="s">
        <v>96</v>
      </c>
      <c r="C33" s="17" t="s">
        <v>51</v>
      </c>
      <c r="D33" s="17" t="s">
        <v>212</v>
      </c>
      <c r="E33" s="17" t="s">
        <v>164</v>
      </c>
      <c r="F33" s="16"/>
    </row>
    <row r="34" spans="1:6" x14ac:dyDescent="0.2">
      <c r="A34" s="16"/>
      <c r="B34" s="21" t="s">
        <v>97</v>
      </c>
      <c r="C34" s="17" t="s">
        <v>17</v>
      </c>
      <c r="D34" s="17" t="s">
        <v>165</v>
      </c>
      <c r="E34" s="17" t="s">
        <v>165</v>
      </c>
      <c r="F34" s="16"/>
    </row>
    <row r="35" spans="1:6" x14ac:dyDescent="0.2">
      <c r="A35" s="16"/>
      <c r="B35" s="21" t="s">
        <v>98</v>
      </c>
      <c r="C35" s="17" t="s">
        <v>18</v>
      </c>
      <c r="D35" s="17" t="s">
        <v>166</v>
      </c>
      <c r="E35" s="17" t="s">
        <v>166</v>
      </c>
      <c r="F35" s="16"/>
    </row>
    <row r="36" spans="1:6" x14ac:dyDescent="0.2">
      <c r="A36" s="16"/>
      <c r="B36" s="21" t="s">
        <v>99</v>
      </c>
      <c r="C36" s="17" t="s">
        <v>53</v>
      </c>
      <c r="D36" s="17" t="s">
        <v>53</v>
      </c>
      <c r="E36" s="17" t="s">
        <v>167</v>
      </c>
      <c r="F36" s="16"/>
    </row>
    <row r="37" spans="1:6" x14ac:dyDescent="0.2">
      <c r="A37" s="16"/>
      <c r="B37" s="21" t="s">
        <v>100</v>
      </c>
      <c r="C37" s="17" t="s">
        <v>54</v>
      </c>
      <c r="D37" s="17" t="s">
        <v>211</v>
      </c>
      <c r="E37" s="17" t="s">
        <v>168</v>
      </c>
      <c r="F37" s="16"/>
    </row>
    <row r="38" spans="1:6" x14ac:dyDescent="0.2">
      <c r="A38" s="16"/>
      <c r="B38" s="21" t="s">
        <v>101</v>
      </c>
      <c r="C38" s="17" t="s">
        <v>52</v>
      </c>
      <c r="D38" s="17" t="s">
        <v>210</v>
      </c>
      <c r="E38" s="17" t="s">
        <v>169</v>
      </c>
      <c r="F38" s="16"/>
    </row>
    <row r="39" spans="1:6" x14ac:dyDescent="0.2">
      <c r="A39" s="16"/>
      <c r="B39" s="21" t="s">
        <v>102</v>
      </c>
      <c r="C39" s="17" t="s">
        <v>55</v>
      </c>
      <c r="D39" s="17" t="s">
        <v>170</v>
      </c>
      <c r="E39" s="17" t="s">
        <v>170</v>
      </c>
      <c r="F39" s="16"/>
    </row>
    <row r="40" spans="1:6" x14ac:dyDescent="0.2">
      <c r="A40" s="16"/>
      <c r="B40" s="21" t="s">
        <v>103</v>
      </c>
      <c r="C40" s="17" t="s">
        <v>56</v>
      </c>
      <c r="D40" s="17" t="s">
        <v>209</v>
      </c>
      <c r="E40" s="17" t="s">
        <v>171</v>
      </c>
      <c r="F40" s="16"/>
    </row>
    <row r="41" spans="1:6" x14ac:dyDescent="0.2">
      <c r="A41" s="16"/>
      <c r="B41" s="21" t="s">
        <v>104</v>
      </c>
      <c r="C41" s="17" t="s">
        <v>19</v>
      </c>
      <c r="D41" s="17" t="s">
        <v>172</v>
      </c>
      <c r="E41" s="17" t="s">
        <v>172</v>
      </c>
      <c r="F41" s="16"/>
    </row>
    <row r="42" spans="1:6" x14ac:dyDescent="0.2">
      <c r="A42" s="16"/>
      <c r="B42" s="16"/>
      <c r="C42" s="16"/>
      <c r="D42" s="16"/>
      <c r="E42" s="16"/>
      <c r="F42" s="16"/>
    </row>
    <row r="43" spans="1:6" x14ac:dyDescent="0.2">
      <c r="A43" s="22"/>
      <c r="B43" s="21" t="s">
        <v>80</v>
      </c>
      <c r="C43" s="38" t="s">
        <v>20</v>
      </c>
      <c r="D43" s="14" t="str">
        <f>VLOOKUP("&lt;Legende_1&gt;",[1]Uebersetzungen!$B$3:$E$52,[1]Uebersetzungen!$B$2+1,FALSE)</f>
        <v>(): Extrapolation aufgrund von 49 oder weniger Beobachtungen. Die Resultate sind mit grosser Vorsicht zu interpretieren.</v>
      </c>
      <c r="E43" s="14" t="str">
        <f>VLOOKUP("&lt;Legende_1&gt;",[1]Uebersetzungen!$B$3:$E$52,[1]Uebersetzungen!$B$2+1,FALSE)</f>
        <v>(): Extrapolation aufgrund von 49 oder weniger Beobachtungen. Die Resultate sind mit grosser Vorsicht zu interpretieren.</v>
      </c>
      <c r="F43" s="16"/>
    </row>
    <row r="44" spans="1:6" x14ac:dyDescent="0.2">
      <c r="A44" s="16"/>
      <c r="B44" s="21" t="s">
        <v>81</v>
      </c>
      <c r="C44" s="38" t="s">
        <v>21</v>
      </c>
      <c r="D44" s="14" t="str">
        <f>VLOOKUP("&lt;Legende_2&gt;",[1]Uebersetzungen!$B$3:$E$52,[1]Uebersetzungen!$B$2+1,FALSE)</f>
        <v>X: Extrapolation aufgrund von 4 oder weniger Beobachtungen. Die Resultate werden aus Gründen des Datenschutzes nicht publiziert.</v>
      </c>
      <c r="E44" s="14" t="str">
        <f>VLOOKUP("&lt;Legende_2&gt;",[1]Uebersetzungen!$B$3:$E$52,[1]Uebersetzungen!$B$2+1,FALSE)</f>
        <v>X: Extrapolation aufgrund von 4 oder weniger Beobachtungen. Die Resultate werden aus Gründen des Datenschutzes nicht publiziert.</v>
      </c>
      <c r="F44" s="16"/>
    </row>
    <row r="45" spans="1:6" x14ac:dyDescent="0.2">
      <c r="A45" s="16"/>
      <c r="B45" s="21" t="s">
        <v>82</v>
      </c>
      <c r="C45" s="38" t="s">
        <v>22</v>
      </c>
      <c r="D45" s="14" t="str">
        <f>VLOOKUP("&lt;Legende_3&gt;",[1]Uebersetzungen!$B$3:$E$52,[1]Uebersetzungen!$B$2+1,FALSE)</f>
        <v>Die Grundgesamtheit der Strukturerhebung enthält alle Personen der ständigen Wohnbevölkerung ab vollendetem 15. Altersjahr, die in Privathaushalten leben.</v>
      </c>
      <c r="E45" s="14" t="str">
        <f>VLOOKUP("&lt;Legende_3&gt;",[1]Uebersetzungen!$B$3:$E$52,[1]Uebersetzungen!$B$2+1,FALSE)</f>
        <v>Die Grundgesamtheit der Strukturerhebung enthält alle Personen der ständigen Wohnbevölkerung ab vollendetem 15. Altersjahr, die in Privathaushalten leben.</v>
      </c>
      <c r="F45" s="16"/>
    </row>
    <row r="46" spans="1:6" x14ac:dyDescent="0.2">
      <c r="A46" s="16"/>
      <c r="B46" s="21" t="s">
        <v>83</v>
      </c>
      <c r="C46" s="38" t="s">
        <v>23</v>
      </c>
      <c r="D46" s="14" t="str">
        <f>VLOOKUP("&lt;Legende_4&gt;",[1]Uebersetzungen!$B$3:$E$52,[1]Uebersetzungen!$B$2+1,FALSE)</f>
        <v>Aus der Grundgesamtheit ausgeschlossen wurden neben den Personen, die in Kollektivhaushalten leben, auch Diplomaten, internationale Funktionäre und deren Angehörige.</v>
      </c>
      <c r="E46" s="14" t="str">
        <f>VLOOKUP("&lt;Legende_4&gt;",[1]Uebersetzungen!$B$3:$E$52,[1]Uebersetzungen!$B$2+1,FALSE)</f>
        <v>Aus der Grundgesamtheit ausgeschlossen wurden neben den Personen, die in Kollektivhaushalten leben, auch Diplomaten, internationale Funktionäre und deren Angehörige.</v>
      </c>
      <c r="F46" s="16"/>
    </row>
    <row r="47" spans="1:6" x14ac:dyDescent="0.2">
      <c r="A47" s="16"/>
      <c r="B47" s="16"/>
      <c r="C47" s="16"/>
      <c r="D47" s="16"/>
      <c r="E47" s="16"/>
      <c r="F47" s="16"/>
    </row>
    <row r="48" spans="1:6" x14ac:dyDescent="0.2">
      <c r="A48" s="16" t="s">
        <v>106</v>
      </c>
      <c r="B48" s="21" t="s">
        <v>105</v>
      </c>
      <c r="C48" s="17" t="s">
        <v>48</v>
      </c>
      <c r="D48" s="17" t="s">
        <v>239</v>
      </c>
      <c r="E48" s="17" t="s">
        <v>147</v>
      </c>
      <c r="F48" s="16"/>
    </row>
    <row r="49" spans="1:6" x14ac:dyDescent="0.2">
      <c r="A49" s="16" t="s">
        <v>63</v>
      </c>
      <c r="B49" s="24" t="s">
        <v>84</v>
      </c>
      <c r="C49" s="20" t="s">
        <v>276</v>
      </c>
      <c r="D49" s="20" t="s">
        <v>277</v>
      </c>
      <c r="E49" s="20" t="s">
        <v>278</v>
      </c>
      <c r="F49" s="16"/>
    </row>
    <row r="50" spans="1:6" x14ac:dyDescent="0.2">
      <c r="A50" s="16"/>
      <c r="B50" s="16"/>
      <c r="C50" s="16"/>
      <c r="D50" s="16"/>
      <c r="E50" s="16"/>
      <c r="F50" s="16"/>
    </row>
    <row r="51" spans="1:6" x14ac:dyDescent="0.2">
      <c r="A51" s="22"/>
      <c r="B51" s="23"/>
      <c r="C51" s="16"/>
      <c r="D51" s="16"/>
      <c r="E51" s="16"/>
      <c r="F51" s="16"/>
    </row>
    <row r="52" spans="1:6" x14ac:dyDescent="0.2">
      <c r="A52" s="22" t="s">
        <v>107</v>
      </c>
      <c r="B52" s="21" t="s">
        <v>108</v>
      </c>
      <c r="C52" s="18" t="s">
        <v>253</v>
      </c>
      <c r="D52" s="18" t="s">
        <v>254</v>
      </c>
      <c r="E52" s="18" t="s">
        <v>255</v>
      </c>
      <c r="F52" s="16"/>
    </row>
    <row r="53" spans="1:6" ht="25.5" x14ac:dyDescent="0.2">
      <c r="A53" s="22"/>
      <c r="B53" s="21" t="s">
        <v>109</v>
      </c>
      <c r="C53" s="17" t="s">
        <v>47</v>
      </c>
      <c r="D53" s="17" t="s">
        <v>220</v>
      </c>
      <c r="E53" s="17" t="s">
        <v>173</v>
      </c>
      <c r="F53" s="16"/>
    </row>
    <row r="54" spans="1:6" x14ac:dyDescent="0.2">
      <c r="A54" s="22"/>
      <c r="B54" s="16"/>
      <c r="C54" s="16"/>
      <c r="D54" s="16"/>
      <c r="E54" s="16"/>
      <c r="F54" s="16"/>
    </row>
    <row r="55" spans="1:6" x14ac:dyDescent="0.2">
      <c r="A55" s="22" t="s">
        <v>107</v>
      </c>
      <c r="B55" s="21" t="s">
        <v>110</v>
      </c>
      <c r="C55" s="17" t="s">
        <v>0</v>
      </c>
      <c r="D55" s="17" t="s">
        <v>0</v>
      </c>
      <c r="E55" s="17" t="s">
        <v>145</v>
      </c>
      <c r="F55" s="16"/>
    </row>
    <row r="56" spans="1:6" x14ac:dyDescent="0.2">
      <c r="A56" s="16"/>
      <c r="B56" s="21" t="s">
        <v>111</v>
      </c>
      <c r="C56" s="17" t="s">
        <v>24</v>
      </c>
      <c r="D56" s="17" t="s">
        <v>215</v>
      </c>
      <c r="E56" s="17" t="s">
        <v>174</v>
      </c>
      <c r="F56" s="16"/>
    </row>
    <row r="57" spans="1:6" x14ac:dyDescent="0.2">
      <c r="A57" s="16"/>
      <c r="B57" s="21" t="s">
        <v>112</v>
      </c>
      <c r="C57" s="17" t="s">
        <v>27</v>
      </c>
      <c r="D57" s="25" t="s">
        <v>216</v>
      </c>
      <c r="E57" s="17" t="s">
        <v>175</v>
      </c>
      <c r="F57" s="16"/>
    </row>
    <row r="58" spans="1:6" x14ac:dyDescent="0.2">
      <c r="A58" s="16"/>
      <c r="B58" s="21" t="s">
        <v>113</v>
      </c>
      <c r="C58" s="17" t="s">
        <v>256</v>
      </c>
      <c r="D58" s="17" t="s">
        <v>257</v>
      </c>
      <c r="E58" s="17" t="s">
        <v>258</v>
      </c>
      <c r="F58" s="16"/>
    </row>
    <row r="59" spans="1:6" x14ac:dyDescent="0.2">
      <c r="A59" s="16"/>
      <c r="B59" s="21" t="s">
        <v>114</v>
      </c>
      <c r="C59" s="17" t="s">
        <v>28</v>
      </c>
      <c r="D59" s="17" t="s">
        <v>217</v>
      </c>
      <c r="E59" s="17" t="s">
        <v>259</v>
      </c>
      <c r="F59" s="16"/>
    </row>
    <row r="60" spans="1:6" x14ac:dyDescent="0.2">
      <c r="A60" s="16"/>
      <c r="B60" s="21" t="s">
        <v>115</v>
      </c>
      <c r="F60" s="16"/>
    </row>
    <row r="61" spans="1:6" x14ac:dyDescent="0.2">
      <c r="A61" s="16"/>
      <c r="B61" s="21" t="s">
        <v>116</v>
      </c>
      <c r="C61" s="17" t="s">
        <v>32</v>
      </c>
      <c r="D61" s="17" t="s">
        <v>218</v>
      </c>
      <c r="E61" s="17" t="s">
        <v>260</v>
      </c>
      <c r="F61" s="16"/>
    </row>
    <row r="62" spans="1:6" x14ac:dyDescent="0.2">
      <c r="A62" s="16"/>
      <c r="B62" s="21" t="s">
        <v>130</v>
      </c>
      <c r="C62" s="17" t="s">
        <v>44</v>
      </c>
      <c r="D62" s="17" t="s">
        <v>219</v>
      </c>
      <c r="E62" s="17" t="s">
        <v>261</v>
      </c>
      <c r="F62" s="16"/>
    </row>
    <row r="63" spans="1:6" x14ac:dyDescent="0.2">
      <c r="A63" s="16"/>
      <c r="B63" s="16"/>
      <c r="C63" s="16"/>
      <c r="D63" s="16"/>
      <c r="E63" s="16"/>
      <c r="F63" s="16"/>
    </row>
    <row r="64" spans="1:6" x14ac:dyDescent="0.2">
      <c r="A64" s="16"/>
      <c r="B64" s="21" t="s">
        <v>119</v>
      </c>
      <c r="C64" s="17" t="s">
        <v>25</v>
      </c>
      <c r="D64" s="17" t="s">
        <v>213</v>
      </c>
      <c r="E64" s="17" t="s">
        <v>176</v>
      </c>
      <c r="F64" s="16"/>
    </row>
    <row r="65" spans="1:6" x14ac:dyDescent="0.2">
      <c r="A65" s="16"/>
      <c r="B65" s="21" t="s">
        <v>120</v>
      </c>
      <c r="C65" s="17" t="s">
        <v>26</v>
      </c>
      <c r="D65" s="17" t="s">
        <v>214</v>
      </c>
      <c r="E65" s="17" t="s">
        <v>177</v>
      </c>
      <c r="F65" s="16"/>
    </row>
    <row r="66" spans="1:6" x14ac:dyDescent="0.2">
      <c r="A66" s="16"/>
      <c r="B66" s="21" t="s">
        <v>121</v>
      </c>
      <c r="C66" s="17" t="s">
        <v>262</v>
      </c>
      <c r="D66" s="17" t="s">
        <v>262</v>
      </c>
      <c r="E66" s="17" t="s">
        <v>262</v>
      </c>
      <c r="F66" s="16"/>
    </row>
    <row r="67" spans="1:6" x14ac:dyDescent="0.2">
      <c r="A67" s="16"/>
      <c r="B67" s="21" t="s">
        <v>122</v>
      </c>
      <c r="C67" s="17">
        <v>25.44</v>
      </c>
      <c r="D67" s="17">
        <v>25.44</v>
      </c>
      <c r="E67" s="17">
        <v>25.44</v>
      </c>
      <c r="F67" s="16"/>
    </row>
    <row r="68" spans="1:6" x14ac:dyDescent="0.2">
      <c r="A68" s="16"/>
      <c r="B68" s="21" t="s">
        <v>131</v>
      </c>
      <c r="C68" s="17" t="s">
        <v>263</v>
      </c>
      <c r="D68" s="17" t="s">
        <v>263</v>
      </c>
      <c r="E68" s="17" t="s">
        <v>263</v>
      </c>
      <c r="F68" s="16"/>
    </row>
    <row r="69" spans="1:6" x14ac:dyDescent="0.2">
      <c r="A69" s="16"/>
      <c r="B69" s="21" t="s">
        <v>132</v>
      </c>
      <c r="C69" s="17" t="s">
        <v>264</v>
      </c>
      <c r="D69" s="17" t="s">
        <v>265</v>
      </c>
      <c r="E69" s="17" t="s">
        <v>266</v>
      </c>
      <c r="F69" s="16"/>
    </row>
    <row r="70" spans="1:6" x14ac:dyDescent="0.2">
      <c r="A70" s="16"/>
      <c r="B70" s="21" t="s">
        <v>123</v>
      </c>
      <c r="C70" s="17" t="s">
        <v>271</v>
      </c>
      <c r="D70" s="17" t="s">
        <v>269</v>
      </c>
      <c r="E70" s="17" t="s">
        <v>267</v>
      </c>
      <c r="F70" s="16"/>
    </row>
    <row r="71" spans="1:6" x14ac:dyDescent="0.2">
      <c r="A71" s="16"/>
      <c r="B71" s="21" t="s">
        <v>124</v>
      </c>
      <c r="C71" s="17" t="s">
        <v>272</v>
      </c>
      <c r="D71" s="17" t="s">
        <v>270</v>
      </c>
      <c r="E71" s="17" t="s">
        <v>268</v>
      </c>
      <c r="F71" s="16"/>
    </row>
    <row r="72" spans="1:6" x14ac:dyDescent="0.2">
      <c r="A72" s="16"/>
      <c r="B72" s="21" t="s">
        <v>125</v>
      </c>
      <c r="C72" s="17" t="s">
        <v>29</v>
      </c>
      <c r="D72" s="17" t="s">
        <v>235</v>
      </c>
      <c r="E72" s="17" t="s">
        <v>178</v>
      </c>
      <c r="F72" s="16"/>
    </row>
    <row r="73" spans="1:6" x14ac:dyDescent="0.2">
      <c r="A73" s="16"/>
      <c r="B73" s="21" t="s">
        <v>126</v>
      </c>
      <c r="C73" s="17" t="s">
        <v>30</v>
      </c>
      <c r="D73" s="17" t="s">
        <v>234</v>
      </c>
      <c r="E73" s="17" t="s">
        <v>179</v>
      </c>
      <c r="F73" s="16"/>
    </row>
    <row r="74" spans="1:6" x14ac:dyDescent="0.2">
      <c r="A74" s="16"/>
      <c r="B74" s="21" t="s">
        <v>273</v>
      </c>
      <c r="C74" s="17" t="s">
        <v>31</v>
      </c>
      <c r="D74" s="17" t="s">
        <v>234</v>
      </c>
      <c r="E74" s="17" t="s">
        <v>180</v>
      </c>
      <c r="F74" s="16"/>
    </row>
    <row r="75" spans="1:6" x14ac:dyDescent="0.2">
      <c r="A75" s="16"/>
      <c r="B75" s="21" t="s">
        <v>127</v>
      </c>
      <c r="C75" s="17" t="s">
        <v>33</v>
      </c>
      <c r="D75" s="17" t="s">
        <v>233</v>
      </c>
      <c r="E75" s="17" t="s">
        <v>181</v>
      </c>
      <c r="F75" s="16"/>
    </row>
    <row r="76" spans="1:6" x14ac:dyDescent="0.2">
      <c r="A76" s="16"/>
      <c r="B76" s="21" t="s">
        <v>128</v>
      </c>
      <c r="C76" s="17" t="s">
        <v>34</v>
      </c>
      <c r="D76" s="17" t="s">
        <v>221</v>
      </c>
      <c r="E76" s="17" t="s">
        <v>182</v>
      </c>
      <c r="F76" s="16"/>
    </row>
    <row r="77" spans="1:6" x14ac:dyDescent="0.2">
      <c r="A77" s="16"/>
      <c r="B77" s="21" t="s">
        <v>129</v>
      </c>
      <c r="C77" s="17" t="s">
        <v>35</v>
      </c>
      <c r="D77" s="17" t="s">
        <v>222</v>
      </c>
      <c r="E77" s="17" t="s">
        <v>183</v>
      </c>
      <c r="F77" s="16"/>
    </row>
    <row r="78" spans="1:6" x14ac:dyDescent="0.2">
      <c r="A78" s="16"/>
      <c r="B78" s="21" t="s">
        <v>133</v>
      </c>
      <c r="C78" s="17" t="s">
        <v>36</v>
      </c>
      <c r="D78" s="17" t="s">
        <v>223</v>
      </c>
      <c r="E78" s="17" t="s">
        <v>184</v>
      </c>
      <c r="F78" s="16"/>
    </row>
    <row r="79" spans="1:6" x14ac:dyDescent="0.2">
      <c r="A79" s="16"/>
      <c r="B79" s="21" t="s">
        <v>134</v>
      </c>
      <c r="C79" s="17" t="s">
        <v>37</v>
      </c>
      <c r="D79" s="17" t="s">
        <v>224</v>
      </c>
      <c r="E79" s="17" t="s">
        <v>185</v>
      </c>
      <c r="F79" s="16"/>
    </row>
    <row r="80" spans="1:6" x14ac:dyDescent="0.2">
      <c r="A80" s="16"/>
      <c r="B80" s="21" t="s">
        <v>135</v>
      </c>
      <c r="C80" s="17" t="s">
        <v>38</v>
      </c>
      <c r="D80" s="17" t="s">
        <v>225</v>
      </c>
      <c r="E80" s="17" t="s">
        <v>186</v>
      </c>
      <c r="F80" s="16"/>
    </row>
    <row r="81" spans="1:6" x14ac:dyDescent="0.2">
      <c r="A81" s="16"/>
      <c r="B81" s="21" t="s">
        <v>136</v>
      </c>
      <c r="C81" s="17" t="s">
        <v>39</v>
      </c>
      <c r="D81" s="17" t="s">
        <v>226</v>
      </c>
      <c r="E81" s="17" t="s">
        <v>187</v>
      </c>
      <c r="F81" s="16"/>
    </row>
    <row r="82" spans="1:6" x14ac:dyDescent="0.2">
      <c r="A82" s="16"/>
      <c r="B82" s="21" t="s">
        <v>137</v>
      </c>
      <c r="C82" s="17" t="s">
        <v>40</v>
      </c>
      <c r="D82" s="17" t="s">
        <v>227</v>
      </c>
      <c r="E82" s="17" t="s">
        <v>188</v>
      </c>
      <c r="F82" s="16"/>
    </row>
    <row r="83" spans="1:6" ht="25.5" x14ac:dyDescent="0.2">
      <c r="A83" s="16"/>
      <c r="B83" s="21" t="s">
        <v>138</v>
      </c>
      <c r="C83" s="17" t="s">
        <v>41</v>
      </c>
      <c r="D83" s="17" t="s">
        <v>228</v>
      </c>
      <c r="E83" s="17" t="s">
        <v>189</v>
      </c>
      <c r="F83" s="16"/>
    </row>
    <row r="84" spans="1:6" ht="38.25" x14ac:dyDescent="0.2">
      <c r="A84" s="16"/>
      <c r="B84" s="21" t="s">
        <v>139</v>
      </c>
      <c r="C84" s="17" t="s">
        <v>42</v>
      </c>
      <c r="D84" s="17" t="s">
        <v>229</v>
      </c>
      <c r="E84" s="17" t="s">
        <v>190</v>
      </c>
      <c r="F84" s="16"/>
    </row>
    <row r="85" spans="1:6" ht="25.5" x14ac:dyDescent="0.2">
      <c r="A85" s="16"/>
      <c r="B85" s="21" t="s">
        <v>140</v>
      </c>
      <c r="C85" s="17" t="s">
        <v>43</v>
      </c>
      <c r="D85" s="17" t="s">
        <v>230</v>
      </c>
      <c r="E85" s="17" t="s">
        <v>191</v>
      </c>
      <c r="F85" s="16"/>
    </row>
    <row r="86" spans="1:6" x14ac:dyDescent="0.2">
      <c r="A86" s="16"/>
      <c r="B86" s="21" t="s">
        <v>141</v>
      </c>
      <c r="C86" s="17" t="s">
        <v>274</v>
      </c>
      <c r="D86" s="17" t="s">
        <v>275</v>
      </c>
      <c r="E86" s="17" t="s">
        <v>192</v>
      </c>
      <c r="F86" s="16"/>
    </row>
    <row r="87" spans="1:6" x14ac:dyDescent="0.2">
      <c r="A87" s="16"/>
      <c r="B87" s="21" t="s">
        <v>142</v>
      </c>
      <c r="C87" s="17" t="s">
        <v>45</v>
      </c>
      <c r="D87" s="17" t="s">
        <v>231</v>
      </c>
      <c r="E87" s="17" t="s">
        <v>193</v>
      </c>
      <c r="F87" s="16"/>
    </row>
    <row r="88" spans="1:6" x14ac:dyDescent="0.2">
      <c r="A88" s="16"/>
      <c r="B88" s="21" t="s">
        <v>143</v>
      </c>
      <c r="C88" s="17" t="s">
        <v>46</v>
      </c>
      <c r="D88" s="17" t="s">
        <v>232</v>
      </c>
      <c r="E88" s="17" t="s">
        <v>194</v>
      </c>
      <c r="F88" s="16"/>
    </row>
    <row r="89" spans="1:6" x14ac:dyDescent="0.2">
      <c r="A89" s="16"/>
      <c r="B89" s="16"/>
      <c r="C89" s="16"/>
      <c r="D89" s="16"/>
      <c r="E89" s="16"/>
      <c r="F89" s="16"/>
    </row>
    <row r="90" spans="1:6" x14ac:dyDescent="0.2">
      <c r="A90" s="16" t="s">
        <v>107</v>
      </c>
      <c r="B90" s="24" t="s">
        <v>144</v>
      </c>
      <c r="C90" s="20" t="s">
        <v>276</v>
      </c>
      <c r="D90" s="20" t="s">
        <v>277</v>
      </c>
      <c r="E90" s="20" t="s">
        <v>278</v>
      </c>
      <c r="F90" s="16"/>
    </row>
    <row r="91" spans="1:6" x14ac:dyDescent="0.2">
      <c r="A91" s="16"/>
      <c r="B91" s="16"/>
      <c r="C91" s="16"/>
      <c r="D91" s="16"/>
      <c r="E91" s="16"/>
      <c r="F91" s="16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A83D2D9087C0499BBDDADFE9564913" ma:contentTypeVersion="6" ma:contentTypeDescription="Ein neues Dokument erstellen." ma:contentTypeScope="" ma:versionID="1f3af7de7f4500b720d1e69b73bf35ac">
  <xsd:schema xmlns:xsd="http://www.w3.org/2001/XMLSchema" xmlns:xs="http://www.w3.org/2001/XMLSchema" xmlns:p="http://schemas.microsoft.com/office/2006/metadata/properties" xmlns:ns1="http://schemas.microsoft.com/sharepoint/v3" xmlns:ns2="9d1f6504-c754-4527-a358-047ce8521f96" targetNamespace="http://schemas.microsoft.com/office/2006/metadata/properties" ma:root="true" ma:fieldsID="c79055d5800c49357077d70b127ffa6c" ns1:_="" ns2:_="">
    <xsd:import namespace="http://schemas.microsoft.com/sharepoint/v3"/>
    <xsd:import namespace="9d1f6504-c754-4527-a358-047ce8521f9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Kategorie" minOccurs="0"/>
                <xsd:element ref="ns2:Benutzerdefinierte_x0020_ID" minOccurs="0"/>
                <xsd:element ref="ns2:Titel_DE" minOccurs="0"/>
                <xsd:element ref="ns2:Titel_RM" minOccurs="0"/>
                <xsd:element ref="ns2:Titel_I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1f6504-c754-4527-a358-047ce8521f96" elementFormDefault="qualified">
    <xsd:import namespace="http://schemas.microsoft.com/office/2006/documentManagement/types"/>
    <xsd:import namespace="http://schemas.microsoft.com/office/infopath/2007/PartnerControls"/>
    <xsd:element name="Kategorie" ma:index="10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1" nillable="true" ma:displayName="Benutzerdefinierte ID" ma:internalName="Benutzerdefinierte_x0020_ID" ma:percentage="FALSE">
      <xsd:simpleType>
        <xsd:restriction base="dms:Number"/>
      </xsd:simpleType>
    </xsd:element>
    <xsd:element name="Titel_DE" ma:index="12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3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4" nillable="true" ma:displayName="Titel_IT" ma:internalName="Titel_I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9d1f6504-c754-4527-a358-047ce8521f96">1019</Benutzerdefinierte_x0020_ID>
    <Titel_RM xmlns="9d1f6504-c754-4527-a358-047ce8521f96">Populaziun tenor status da migraziun, Svizra e Grischun, 2023</Titel_RM>
    <Titel_DE xmlns="9d1f6504-c754-4527-a358-047ce8521f96">Bevölkerung nach Migrationsstatus, Schweiz und Graubünden, 2023</Titel_DE>
    <PublishingExpirationDate xmlns="http://schemas.microsoft.com/sharepoint/v3" xsi:nil="true"/>
    <Kategorie xmlns="9d1f6504-c754-4527-a358-047ce8521f96">Migration und Integration</Kategorie>
    <PublishingStartDate xmlns="http://schemas.microsoft.com/sharepoint/v3" xsi:nil="true"/>
    <Titel_IT xmlns="9d1f6504-c754-4527-a358-047ce8521f96">Popolazione secondo lo statuto migratorio, in Svizzera e nei Grigioni, 2023</Titel_IT>
  </documentManagement>
</p:properties>
</file>

<file path=customXml/itemProps1.xml><?xml version="1.0" encoding="utf-8"?>
<ds:datastoreItem xmlns:ds="http://schemas.openxmlformats.org/officeDocument/2006/customXml" ds:itemID="{672F57BB-488F-4DF6-AA4B-12F7287B54F5}"/>
</file>

<file path=customXml/itemProps2.xml><?xml version="1.0" encoding="utf-8"?>
<ds:datastoreItem xmlns:ds="http://schemas.openxmlformats.org/officeDocument/2006/customXml" ds:itemID="{CB9C4254-6A48-4A9C-AF8C-D8171C2897F4}"/>
</file>

<file path=customXml/itemProps3.xml><?xml version="1.0" encoding="utf-8"?>
<ds:datastoreItem xmlns:ds="http://schemas.openxmlformats.org/officeDocument/2006/customXml" ds:itemID="{E2DF4C9C-A738-40E7-95A6-246043D923F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Kantone</vt:lpstr>
      <vt:lpstr>Graubünden</vt:lpstr>
      <vt:lpstr>Uebersetzungen</vt:lpstr>
      <vt:lpstr>Graubünden!Druckbereich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Bevölkerung nach Migrationsstatus</dc:title>
  <dc:creator>Luzius.Stricker@awt.gr.ch</dc:creator>
  <cp:lastModifiedBy>Monstein Urs (AWT GR)</cp:lastModifiedBy>
  <cp:lastPrinted>2018-12-06T18:35:59Z</cp:lastPrinted>
  <dcterms:created xsi:type="dcterms:W3CDTF">2012-06-17T15:40:31Z</dcterms:created>
  <dcterms:modified xsi:type="dcterms:W3CDTF">2025-10-09T07:47:00Z</dcterms:modified>
  <cp:category>SE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2025-10-09T06:37:47Z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16943036-8a73-45fe-8bfc-3b69316d1aa6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  <property fmtid="{D5CDD505-2E9C-101B-9397-08002B2CF9AE}" pid="10" name="ContentTypeId">
    <vt:lpwstr>0x01010095A83D2D9087C0499BBDDADFE9564913</vt:lpwstr>
  </property>
</Properties>
</file>